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<sst xmlns="http://schemas.openxmlformats.org/spreadsheetml/2006/main" count="1751" uniqueCount="654">
  <si>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</si>
  <si>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</si>
  <si>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</si>
  <si>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</si>
  <si>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</si>
  <si>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</si>
  <si>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</si>
  <si>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</si>
  <si>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</si>
  <si>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</si>
  <si>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</si>
  <si>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</si>
  <si>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</si>
  <si>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</si>
  <si>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</si>
  <si>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</si>
  <si>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</si>
  <si>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</si>
  <si>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</si>
  <si>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</si>
  <si>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</si>
  <si>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</si>
  <si>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</si>
  <si>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</si>
  <si>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</si>
  <si>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</si>
  <si>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</si>
  <si>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</si>
  <si>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</si>
  <si>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</si>
  <si>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</si>
  <si>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</si>
  <si>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</si>
  <si>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</si>
  <si>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</si>
  <si>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</si>
  <si>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</si>
  <si>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</si>
  <si>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</si>
  <si>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</si>
  <si>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</si>
  <si>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</si>
  <si>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</si>
  <si>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</si>
  <si>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</si>
  <si>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</si>
  <si>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</si>
  <si>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</si>
  <si>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</si>
  <si>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</si>
  <si>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</si>
  <si>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</si>
  <si>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</si>
  <si>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</si>
  <si>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</si>
  <si>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</si>
  <si>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</si>
  <si>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</si>
  <si>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</si>
  <si>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</si>
  <si>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</si>
  <si>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</si>
  <si>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</si>
  <si>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</si>
  <si>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</si>
  <si>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</si>
  <si>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</si>
  <si>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</si>
  <si>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</si>
  <si>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</si>
  <si>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</si>
  <si>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</si>
  <si>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</si>
  <si>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</si>
  <si>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</si>
  <si>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</si>
  <si>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</si>
  <si>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</si>
  <si>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</si>
  <si>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</si>
  <si>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</si>
  <si>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</si>
  <si>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</si>
  <si>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</si>
  <si>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</si>
  <si>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</si>
  <si>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</si>
  <si>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</si>
  <si>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</si>
  <si>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</si>
  <si>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</si>
  <si>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</si>
  <si>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</si>
  <si>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</si>
  <si>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</si>
  <si>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</si>
  <si>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</si>
  <si>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</si>
  <si>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</si>
  <si>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</si>
  <si>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</si>
  <si>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</si>
  <si>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</si>
  <si>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</si>
  <si>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</si>
  <si>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</si>
  <si>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</si>
  <si>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</si>
  <si>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</si>
  <si>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</si>
  <si>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</si>
  <si>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</si>
  <si>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</si>
  <si>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</si>
  <si>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</si>
  <si>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</si>
  <si>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</si>
  <si>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</si>
  <si>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</si>
  <si>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</si>
  <si>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</si>
  <si>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</si>
  <si>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</si>
  <si>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</si>
  <si>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</si>
  <si>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</si>
  <si>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</si>
  <si>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</si>
  <si>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</si>
  <si>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</si>
  <si>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</si>
  <si>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</si>
  <si>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</si>
  <si>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</si>
  <si>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</si>
  <si>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</si>
  <si>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</si>
  <si>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</si>
  <si>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</si>
  <si>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</si>
  <si>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</si>
  <si>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</si>
  <si>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</si>
  <si>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</si>
  <si>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</si>
  <si>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</si>
  <si>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</si>
  <si>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</si>
  <si>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</si>
  <si>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</si>
  <si>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</si>
  <si>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</si>
  <si>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</si>
  <si>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</si>
  <si>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</si>
  <si>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</si>
  <si>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</si>
  <si>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</si>
  <si>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</si>
  <si>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</si>
  <si>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</si>
  <si>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</si>
  <si>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</si>
  <si>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</si>
  <si>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</si>
  <si>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</si>
  <si>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</si>
  <si>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</si>
  <si>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</si>
  <si>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</si>
  <si>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</si>
  <si>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</si>
  <si>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</si>
  <si>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</si>
  <si>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</si>
  <si>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</si>
  <si>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</si>
  <si>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</si>
  <si>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</si>
  <si>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</si>
  <si>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</si>
  <si>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</si>
  <si>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</si>
  <si>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</si>
  <si>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</si>
  <si>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</si>
  <si>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</si>
  <si>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</si>
  <si>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</si>
  <si>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</si>
  <si>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</si>
  <si>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</si>
  <si>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</si>
  <si>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</si>
  <si>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</si>
  <si>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</si>
  <si>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</si>
  <si>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</si>
  <si>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</si>
  <si>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</si>
  <si>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</si>
  <si>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</si>
  <si>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</si>
  <si>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</si>
  <si>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</si>
  <si>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</si>
  <si>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</si>
  <si>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</si>
  <si>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</si>
  <si>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</si>
  <si>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</si>
  <si>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</si>
  <si>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</si>
  <si>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</si>
  <si>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</si>
  <si>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</si>
  <si>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</si>
  <si>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</si>
  <si>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</si>
  <si>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</si>
  <si>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</si>
  <si>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</si>
  <si>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</si>
  <si>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</si>
  <si>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</si>
  <si>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</si>
  <si>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</si>
  <si>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</si>
  <si>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</si>
  <si>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</si>
  <si>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</si>
  <si>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</si>
  <si>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</si>
  <si>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</si>
  <si>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</si>
  <si>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</si>
  <si>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</si>
  <si>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</si>
  <si>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</si>
  <si>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</si>
  <si>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</si>
  <si>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</si>
  <si>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</si>
  <si>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</si>
  <si>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</si>
  <si>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</si>
  <si>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</si>
  <si>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</si>
  <si>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</si>
  <si>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</si>
  <si>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</si>
  <si>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</si>
  <si>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</si>
  <si>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</si>
  <si>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</si>
  <si>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</si>
  <si>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</si>
  <si>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</si>
  <si>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</si>
  <si>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</si>
  <si>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</si>
  <si>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</si>
  <si>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</si>
  <si>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</si>
  <si>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</si>
  <si>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</si>
  <si>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</si>
  <si>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</si>
  <si>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</si>
  <si>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</si>
  <si>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</si>
  <si>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</si>
  <si>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</si>
  <si>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</si>
  <si>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</si>
  <si>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</si>
  <si>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</si>
  <si>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</si>
  <si>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</si>
  <si>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</si>
  <si>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</si>
  <si>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</si>
  <si>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</si>
  <si>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</si>
  <si>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</si>
  <si>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</si>
  <si>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</si>
  <si>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</si>
  <si>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</si>
  <si>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</si>
  <si>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</si>
  <si>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</si>
  <si>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</si>
  <si>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</si>
  <si>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</si>
  <si>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</si>
  <si>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</si>
  <si>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</si>
  <si>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</si>
  <si>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</si>
  <si>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</si>
  <si>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</si>
  <si>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</si>
  <si>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</si>
  <si>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</si>
  <si>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</si>
  <si>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</si>
  <si>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</si>
  <si>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</si>
  <si>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</si>
  <si>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</si>
  <si>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</si>
  <si>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</si>
  <si>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</si>
  <si>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</si>
  <si>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</si>
  <si>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</si>
  <si>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</si>
  <si>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</si>
  <si>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</si>
  <si>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</si>
  <si>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</si>
  <si>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</si>
  <si>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</si>
  <si>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</si>
  <si>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</si>
  <si>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</si>
  <si>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</si>
  <si>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</si>
  <si>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</si>
  <si>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</si>
  <si>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</si>
  <si>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</si>
  <si>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</si>
  <si>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</si>
  <si>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</si>
  <si>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</si>
  <si>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</si>
  <si>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</si>
  <si>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</si>
  <si>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</si>
  <si>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</si>
  <si>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</si>
  <si>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</si>
  <si>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</si>
  <si>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</si>
  <si>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</si>
  <si>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</si>
  <si>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</si>
  <si>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</si>
  <si>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</si>
  <si>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</si>
  <si>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</si>
  <si>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</si>
  <si>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</si>
  <si>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</si>
  <si>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</si>
  <si>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</si>
  <si>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</si>
  <si>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</si>
  <si>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</si>
  <si>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</si>
  <si>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</si>
  <si>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</si>
  <si>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</si>
  <si>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</si>
  <si>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</si>
  <si>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</si>
  <si>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</si>
  <si>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</si>
  <si>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</si>
  <si>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</si>
  <si>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</si>
  <si>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</si>
  <si>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</si>
  <si>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</si>
  <si>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</si>
  <si>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</si>
  <si>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</si>
  <si>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</si>
  <si>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</si>
  <si>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</si>
  <si>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</si>
  <si>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</si>
  <si>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</si>
  <si>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</si>
  <si>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</si>
  <si>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</si>
  <si>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</si>
  <si>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</si>
  <si>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</si>
  <si>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</si>
  <si>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</si>
  <si>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</si>
  <si>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</si>
  <si>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</si>
  <si>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</si>
  <si>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</si>
  <si>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</si>
  <si>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</si>
  <si>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</si>
  <si>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</si>
  <si>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</si>
  <si>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</si>
  <si>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</si>
  <si>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</si>
  <si>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</si>
  <si>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</si>
  <si>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</si>
  <si>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</si>
  <si>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</si>
  <si>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</si>
  <si>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</si>
  <si>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</si>
  <si>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</si>
  <si>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</si>
  <si>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</si>
  <si>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</si>
  <si>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</si>
  <si>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</si>
  <si>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</si>
  <si>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</si>
  <si>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</si>
  <si>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</si>
  <si>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</si>
  <si>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</si>
  <si>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</si>
  <si>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</si>
  <si>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</si>
  <si>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</si>
  <si>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</si>
  <si>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</si>
  <si>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</si>
  <si>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</si>
  <si>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</si>
  <si>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</si>
  <si>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</si>
  <si>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</si>
  <si>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</si>
  <si>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</si>
  <si>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</si>
  <si>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</si>
  <si>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</si>
  <si>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</si>
  <si>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</si>
  <si>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</si>
  <si>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</si>
  <si>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</si>
  <si>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</si>
  <si>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</si>
  <si>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</si>
  <si>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</si>
  <si>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</si>
  <si>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</si>
  <si>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</si>
  <si>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</si>
  <si>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</si>
  <si>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</si>
  <si>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</si>
  <si>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</si>
  <si>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</si>
  <si>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</si>
  <si>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</si>
  <si>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</si>
  <si>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</si>
  <si>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</si>
  <si>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</si>
  <si>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</si>
  <si>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</si>
  <si>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</si>
  <si>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</si>
  <si>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</si>
  <si>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</si>
  <si>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</si>
  <si>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</si>
  <si>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</si>
  <si>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</si>
  <si>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</si>
  <si>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</si>
  <si>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</si>
  <si>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</si>
  <si>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</si>
  <si>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</si>
  <si>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</si>
  <si>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</si>
  <si>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</si>
  <si>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</si>
  <si>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</si>
  <si>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</si>
  <si>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</si>
  <si>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</si>
  <si>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</si>
  <si>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</si>
  <si>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</si>
  <si>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</si>
  <si>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</si>
  <si>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</si>
  <si>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</si>
  <si>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</si>
  <si>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</si>
  <si>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</si>
  <si>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</si>
  <si>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</si>
  <si>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</si>
  <si>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</si>
  <si>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</si>
  <si>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</si>
  <si>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</si>
  <si>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</si>
  <si>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</si>
  <si>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</si>
  <si>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</si>
  <si>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</si>
  <si>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</si>
  <si>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</si>
  <si>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</si>
  <si>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</si>
  <si>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</si>
  <si>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</si>
  <si>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</si>
  <si>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</si>
  <si>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</si>
  <si>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</si>
  <si>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</si>
  <si>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</si>
  <si>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</si>
  <si>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</si>
  <si>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</si>
  <si>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</si>
  <si>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</si>
  <si>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</si>
  <si>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</si>
  <si>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</si>
  <si>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</si>
  <si>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</si>
  <si>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</si>
  <si>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</si>
  <si>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</si>
  <si>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</si>
  <si>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</si>
  <si>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</si>
  <si>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</si>
  <si>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</si>
  <si>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</si>
  <si>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</si>
  <si>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</si>
  <si>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</si>
  <si>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</si>
  <si>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</si>
  <si>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</si>
  <si>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</si>
  <si>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</si>
  <si>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</si>
  <si>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</si>
  <si>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</si>
  <si>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</si>
  <si>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</si>
  <si>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</si>
  <si>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</si>
  <si>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</si>
  <si>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</si>
  <si>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</si>
  <si>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</si>
  <si>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</si>
  <si>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</si>
  <si>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</si>
  <si>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</si>
  <si>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</si>
  <si>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</si>
  <si>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</si>
  <si>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</si>
  <si>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</si>
  <si>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</si>
  <si>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</si>
  <si>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</si>
  <si>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</si>
  <si>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</si>
  <si>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</si>
  <si>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</si>
  <si>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</si>
  <si>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</si>
  <si>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</si>
  <si>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</si>
  <si>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</si>
  <si>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</si>
  <si>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</si>
  <si>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</si>
  <si>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</si>
  <si>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</si>
  <si>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</si>
  <si>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</si>
  <si>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</si>
  <si>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</si>
  <si>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</si>
  <si>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</si>
  <si>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</si>
  <si>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</si>
  <si>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</si>
  <si>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</si>
  <si>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</si>
  <si>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</si>
  <si>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</si>
  <si>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</si>
  <si>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</si>
  <si>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</si>
  <si>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</si>
  <si>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</si>
  <si>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</si>
  <si>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</si>
  <si>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</si>
  <si>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</si>
  <si>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</si>
  <si>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</si>
  <si>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</si>
  <si>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</si>
  <si>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</si>
  <si>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</si>
  <si>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</si>
  <si>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</si>
  <si>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</si>
  <si>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</si>
  <si>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</si>
  <si>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</si>
  <si>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</si>
  <si>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</si>
  <si>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</si>
  <si>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</si>
  <si>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</si>
  <si>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</si>
  <si>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</si>
  <si>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</si>
  <si>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</si>
  <si>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</si>
  <si>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</si>
  <si>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</si>
  <si>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</si>
  <si>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</si>
  <si>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</si>
  <si>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</si>
  <si>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</si>
  <si>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</si>
  <si>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</si>
  <si>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</si>
  <si>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</si>
  <si>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</si>
  <si>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</si>
  <si>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</si>
  <si>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B</t>
  </si>
  <si>
    <t>Data include public supply to businesses, institutions, etc.</t>
  </si>
  <si>
    <t>Based on access figures for 31 March of each year - end of reporting period for Department of Water Affairs and Forestry.</t>
  </si>
  <si>
    <t>Available data as of 31 March; end of the financial year for the Department of Water Affairs and Sanitation.</t>
  </si>
  <si>
    <t>Source: Stats SA. Estimation technique included analysis of number of toilet flushes per day and volume of grey water (e.g. water from dish washing and cleaning clothes).</t>
  </si>
  <si>
    <t>Source: Integrated Regulatory Information System (IRIS) of the Department of Water and Sanitation.</t>
  </si>
  <si>
    <t>Data is based on registered volumes from Water use Authorization &amp; Registration Management System (WARMS) Database.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</si>
</sst>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2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38100</xdr:rowOff>
    </xdr:to>
    <xdr:sp>
      <xdr:nvSpPr>
        <xdr:cNvPr id="16" name="Line 207"/>
        <xdr:cNvSpPr>
          <a:spLocks/>
        </xdr:cNvSpPr>
      </xdr:nvSpPr>
      <xdr:spPr>
        <a:xfrm>
          <a:off x="19431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190500</xdr:rowOff>
    </xdr:from>
    <xdr:to>
      <xdr:col>6</xdr:col>
      <xdr:colOff>552450</xdr:colOff>
      <xdr:row>16</xdr:row>
      <xdr:rowOff>38100</xdr:rowOff>
    </xdr:to>
    <xdr:sp>
      <xdr:nvSpPr>
        <xdr:cNvPr id="18" name="Line 209"/>
        <xdr:cNvSpPr>
          <a:spLocks/>
        </xdr:cNvSpPr>
      </xdr:nvSpPr>
      <xdr:spPr>
        <a:xfrm flipH="1">
          <a:off x="45434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180975</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266700</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8" t="s">
        <v>589</v>
      </c>
      <c r="C7" s="738"/>
      <c r="D7" s="738"/>
      <c r="E7" s="738"/>
      <c r="F7" s="738"/>
      <c r="G7" s="738"/>
      <c r="H7" s="738"/>
      <c r="I7" s="738"/>
      <c r="J7" s="738"/>
      <c r="K7" s="738"/>
      <c r="L7" s="738"/>
      <c r="M7" s="738"/>
    </row>
    <row r="8" spans="2:13" ht="24.75" customHeight="1">
      <c r="B8" s="739" t="s">
        <v>644</v>
      </c>
      <c r="C8" s="739"/>
      <c r="D8" s="739"/>
      <c r="E8" s="739"/>
      <c r="F8" s="739"/>
      <c r="G8" s="739"/>
      <c r="H8" s="739"/>
      <c r="I8" s="739"/>
      <c r="J8" s="739"/>
      <c r="K8" s="739"/>
      <c r="L8" s="739"/>
      <c r="M8" s="739"/>
    </row>
    <row r="10" spans="2:4" ht="18">
      <c r="B10" s="116" t="s">
        <v>294</v>
      </c>
      <c r="C10" s="117"/>
      <c r="D10" s="3"/>
    </row>
    <row r="11" spans="2:4" ht="10.5" customHeight="1">
      <c r="B11" s="4"/>
      <c r="C11" s="3"/>
      <c r="D11" s="3"/>
    </row>
    <row r="12" spans="1:13" s="17" customFormat="1" ht="16.5" customHeight="1">
      <c r="A12" s="18"/>
      <c r="B12" s="740" t="s">
        <v>301</v>
      </c>
      <c r="C12" s="740"/>
      <c r="D12" s="740"/>
      <c r="E12" s="740"/>
      <c r="F12" s="740"/>
      <c r="G12" s="740"/>
      <c r="H12" s="740"/>
      <c r="I12" s="740"/>
      <c r="J12" s="740"/>
      <c r="K12" s="740"/>
      <c r="L12" s="740"/>
      <c r="M12" s="740"/>
    </row>
    <row r="13" spans="2:13" ht="10.5" customHeight="1">
      <c r="B13" s="118"/>
      <c r="C13" s="119"/>
      <c r="D13" s="118"/>
      <c r="E13" s="10"/>
      <c r="F13" s="118"/>
      <c r="G13" s="53"/>
      <c r="H13" s="53"/>
      <c r="I13" s="53"/>
      <c r="J13" s="53"/>
      <c r="K13" s="53"/>
      <c r="L13" s="561"/>
      <c r="M13" s="562"/>
    </row>
    <row r="14" spans="2:11" ht="15.75" customHeight="1">
      <c r="B14" s="120" t="s">
        <v>302</v>
      </c>
      <c r="C14" s="741" t="s">
        <v>488</v>
      </c>
      <c r="D14" s="741"/>
      <c r="E14" s="741"/>
      <c r="F14" s="741"/>
      <c r="G14" s="741"/>
      <c r="H14" s="741"/>
      <c r="I14" s="741"/>
      <c r="J14" s="741"/>
      <c r="K14" s="741"/>
    </row>
    <row r="15" spans="2:11" ht="7.5" customHeight="1">
      <c r="B15" s="121"/>
      <c r="C15" s="742"/>
      <c r="D15" s="743"/>
      <c r="E15" s="743"/>
      <c r="F15" s="743"/>
      <c r="G15" s="743"/>
      <c r="H15" s="743"/>
      <c r="I15" s="743"/>
      <c r="J15" s="743"/>
      <c r="K15" s="744"/>
    </row>
    <row r="16" spans="2:11" ht="15.75" customHeight="1">
      <c r="B16" s="121" t="s">
        <v>303</v>
      </c>
      <c r="C16" s="742" t="s">
        <v>305</v>
      </c>
      <c r="D16" s="743"/>
      <c r="E16" s="743"/>
      <c r="F16" s="743"/>
      <c r="G16" s="743"/>
      <c r="H16" s="743"/>
      <c r="I16" s="743"/>
      <c r="J16" s="743"/>
      <c r="K16" s="744"/>
    </row>
    <row r="17" spans="2:11" ht="7.5" customHeight="1">
      <c r="B17" s="121"/>
      <c r="C17" s="742"/>
      <c r="D17" s="743"/>
      <c r="E17" s="743"/>
      <c r="F17" s="743"/>
      <c r="G17" s="743"/>
      <c r="H17" s="743"/>
      <c r="I17" s="743"/>
      <c r="J17" s="743"/>
      <c r="K17" s="744"/>
    </row>
    <row r="18" spans="2:12" ht="15.75" customHeight="1">
      <c r="B18" s="121" t="s">
        <v>306</v>
      </c>
      <c r="C18" s="742" t="s">
        <v>140</v>
      </c>
      <c r="D18" s="745"/>
      <c r="E18" s="745"/>
      <c r="F18" s="745"/>
      <c r="G18" s="745"/>
      <c r="H18" s="745"/>
      <c r="I18" s="745"/>
      <c r="J18" s="745"/>
      <c r="K18" s="745"/>
      <c r="L18" s="89" t="s">
        <v>75</v>
      </c>
    </row>
    <row r="19" spans="2:11" ht="7.5" customHeight="1">
      <c r="B19" s="121"/>
      <c r="C19" s="742"/>
      <c r="D19" s="743"/>
      <c r="E19" s="743"/>
      <c r="F19" s="743"/>
      <c r="G19" s="743"/>
      <c r="H19" s="743"/>
      <c r="I19" s="743"/>
      <c r="J19" s="743"/>
      <c r="K19" s="744"/>
    </row>
    <row r="20" spans="2:12" ht="15.75" customHeight="1">
      <c r="B20" s="121" t="s">
        <v>307</v>
      </c>
      <c r="C20" s="742" t="s">
        <v>83</v>
      </c>
      <c r="D20" s="745"/>
      <c r="E20" s="745"/>
      <c r="F20" s="745"/>
      <c r="G20" s="745"/>
      <c r="H20" s="745"/>
      <c r="I20" s="745"/>
      <c r="J20" s="745"/>
      <c r="K20" s="745"/>
      <c r="L20" s="89" t="s">
        <v>291</v>
      </c>
    </row>
    <row r="21" spans="2:11" ht="7.5" customHeight="1">
      <c r="B21" s="121"/>
      <c r="C21" s="742"/>
      <c r="D21" s="743"/>
      <c r="E21" s="743"/>
      <c r="F21" s="743"/>
      <c r="G21" s="743"/>
      <c r="H21" s="743"/>
      <c r="I21" s="743"/>
      <c r="J21" s="743"/>
      <c r="K21" s="744"/>
    </row>
    <row r="22" spans="2:12" ht="15.75" customHeight="1">
      <c r="B22" s="121" t="s">
        <v>308</v>
      </c>
      <c r="C22" s="742" t="s">
        <v>48</v>
      </c>
      <c r="D22" s="745"/>
      <c r="E22" s="745"/>
      <c r="F22" s="745"/>
      <c r="G22" s="745"/>
      <c r="H22" s="745"/>
      <c r="I22" s="745"/>
      <c r="J22" s="745"/>
      <c r="K22" s="745"/>
      <c r="L22" s="89" t="s">
        <v>79</v>
      </c>
    </row>
    <row r="23" spans="2:11" ht="7.5" customHeight="1">
      <c r="B23" s="121"/>
      <c r="C23" s="742"/>
      <c r="D23" s="743"/>
      <c r="E23" s="743"/>
      <c r="F23" s="743"/>
      <c r="G23" s="743"/>
      <c r="H23" s="743"/>
      <c r="I23" s="743"/>
      <c r="J23" s="743"/>
      <c r="K23" s="744"/>
    </row>
    <row r="24" spans="2:12" ht="15.75" customHeight="1">
      <c r="B24" s="121" t="s">
        <v>263</v>
      </c>
      <c r="C24" s="742" t="s">
        <v>84</v>
      </c>
      <c r="D24" s="743"/>
      <c r="E24" s="743"/>
      <c r="F24" s="743"/>
      <c r="G24" s="743"/>
      <c r="H24" s="743"/>
      <c r="I24" s="743"/>
      <c r="J24" s="743"/>
      <c r="K24" s="744"/>
      <c r="L24" s="89" t="s">
        <v>34</v>
      </c>
    </row>
    <row r="25" spans="2:11" ht="7.5" customHeight="1">
      <c r="B25" s="121"/>
      <c r="C25" s="742"/>
      <c r="D25" s="743"/>
      <c r="E25" s="743"/>
      <c r="F25" s="743"/>
      <c r="G25" s="743"/>
      <c r="H25" s="743"/>
      <c r="I25" s="743"/>
      <c r="J25" s="743"/>
      <c r="K25" s="744"/>
    </row>
    <row r="26" spans="2:12" ht="15.75" customHeight="1">
      <c r="B26" s="121" t="s">
        <v>315</v>
      </c>
      <c r="C26" s="742" t="s">
        <v>141</v>
      </c>
      <c r="D26" s="745"/>
      <c r="E26" s="745"/>
      <c r="F26" s="745"/>
      <c r="G26" s="745"/>
      <c r="H26" s="745"/>
      <c r="I26" s="745"/>
      <c r="J26" s="745"/>
      <c r="K26" s="745"/>
      <c r="L26" s="89" t="s">
        <v>80</v>
      </c>
    </row>
    <row r="27" spans="2:11" ht="7.5" customHeight="1">
      <c r="B27" s="121"/>
      <c r="C27" s="742"/>
      <c r="D27" s="743"/>
      <c r="E27" s="743"/>
      <c r="F27" s="743"/>
      <c r="G27" s="743"/>
      <c r="H27" s="743"/>
      <c r="I27" s="743"/>
      <c r="J27" s="743"/>
      <c r="K27" s="744"/>
    </row>
    <row r="28" spans="2:11" ht="15.75" customHeight="1">
      <c r="B28" s="121" t="s">
        <v>264</v>
      </c>
      <c r="C28" s="742" t="s">
        <v>132</v>
      </c>
      <c r="D28" s="743"/>
      <c r="E28" s="743"/>
      <c r="F28" s="743"/>
      <c r="G28" s="743"/>
      <c r="H28" s="743"/>
      <c r="I28" s="743"/>
      <c r="J28" s="743"/>
      <c r="K28" s="744"/>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7" t="s">
        <v>198</v>
      </c>
      <c r="D5" s="908"/>
      <c r="E5" s="908"/>
      <c r="F5" s="908"/>
      <c r="G5" s="908"/>
      <c r="H5" s="908"/>
      <c r="I5" s="908"/>
      <c r="J5" s="908"/>
      <c r="K5" s="908"/>
      <c r="L5" s="908"/>
      <c r="M5" s="908"/>
      <c r="N5" s="26"/>
      <c r="O5" s="26"/>
      <c r="P5" s="26"/>
    </row>
    <row r="6" ht="9.75" customHeight="1"/>
    <row r="7" spans="3:16" ht="17.25" customHeight="1">
      <c r="C7" s="909" t="s">
        <v>11</v>
      </c>
      <c r="D7" s="910"/>
      <c r="E7" s="910"/>
      <c r="F7" s="910"/>
      <c r="G7" s="910"/>
      <c r="H7" s="910"/>
      <c r="I7" s="910"/>
      <c r="J7" s="910"/>
      <c r="K7" s="910"/>
      <c r="L7" s="910"/>
      <c r="M7" s="910"/>
      <c r="N7" s="910"/>
      <c r="O7" s="910"/>
      <c r="P7" s="911"/>
    </row>
    <row r="8" spans="3:16" ht="25.5" customHeight="1">
      <c r="C8" s="915"/>
      <c r="D8" s="916"/>
      <c r="E8" s="916"/>
      <c r="F8" s="916"/>
      <c r="G8" s="916"/>
      <c r="H8" s="916"/>
      <c r="I8" s="916"/>
      <c r="J8" s="916"/>
      <c r="K8" s="916"/>
      <c r="L8" s="916"/>
      <c r="M8" s="916"/>
      <c r="N8" s="916"/>
      <c r="O8" s="916"/>
      <c r="P8" s="917"/>
    </row>
    <row r="9" spans="3:16" ht="39" customHeight="1">
      <c r="C9" s="912" t="s">
        <v>252</v>
      </c>
      <c r="D9" s="913"/>
      <c r="E9" s="913"/>
      <c r="F9" s="913"/>
      <c r="G9" s="913"/>
      <c r="H9" s="913"/>
      <c r="I9" s="913"/>
      <c r="J9" s="913"/>
      <c r="K9" s="913"/>
      <c r="L9" s="913"/>
      <c r="M9" s="913"/>
      <c r="N9" s="913"/>
      <c r="O9" s="913"/>
      <c r="P9" s="914"/>
    </row>
    <row r="10" spans="3:16" ht="15" customHeight="1">
      <c r="C10" s="918"/>
      <c r="D10" s="919"/>
      <c r="E10" s="919"/>
      <c r="F10" s="919"/>
      <c r="G10" s="919"/>
      <c r="H10" s="919"/>
      <c r="I10" s="919"/>
      <c r="J10" s="919"/>
      <c r="K10" s="919"/>
      <c r="L10" s="919"/>
      <c r="M10" s="919"/>
      <c r="N10" s="919"/>
      <c r="O10" s="919"/>
      <c r="P10" s="920"/>
    </row>
    <row r="11" spans="3:16" ht="15" customHeight="1">
      <c r="C11" s="918"/>
      <c r="D11" s="919"/>
      <c r="E11" s="919"/>
      <c r="F11" s="919"/>
      <c r="G11" s="919"/>
      <c r="H11" s="919"/>
      <c r="I11" s="919"/>
      <c r="J11" s="919"/>
      <c r="K11" s="919"/>
      <c r="L11" s="919"/>
      <c r="M11" s="919"/>
      <c r="N11" s="919"/>
      <c r="O11" s="919"/>
      <c r="P11" s="920"/>
    </row>
    <row r="12" spans="3:16" ht="15" customHeight="1">
      <c r="C12" s="918"/>
      <c r="D12" s="919"/>
      <c r="E12" s="919"/>
      <c r="F12" s="919"/>
      <c r="G12" s="919"/>
      <c r="H12" s="919"/>
      <c r="I12" s="919"/>
      <c r="J12" s="919"/>
      <c r="K12" s="919"/>
      <c r="L12" s="919"/>
      <c r="M12" s="919"/>
      <c r="N12" s="919"/>
      <c r="O12" s="919"/>
      <c r="P12" s="920"/>
    </row>
    <row r="13" spans="3:16" ht="15" customHeight="1">
      <c r="C13" s="918"/>
      <c r="D13" s="921"/>
      <c r="E13" s="921"/>
      <c r="F13" s="921"/>
      <c r="G13" s="921"/>
      <c r="H13" s="921"/>
      <c r="I13" s="921"/>
      <c r="J13" s="921"/>
      <c r="K13" s="921"/>
      <c r="L13" s="921"/>
      <c r="M13" s="921"/>
      <c r="N13" s="921"/>
      <c r="O13" s="921"/>
      <c r="P13" s="922"/>
    </row>
    <row r="14" spans="3:16" ht="15" customHeight="1">
      <c r="C14" s="918"/>
      <c r="D14" s="919"/>
      <c r="E14" s="919"/>
      <c r="F14" s="919"/>
      <c r="G14" s="919"/>
      <c r="H14" s="919"/>
      <c r="I14" s="919"/>
      <c r="J14" s="919"/>
      <c r="K14" s="919"/>
      <c r="L14" s="919"/>
      <c r="M14" s="919"/>
      <c r="N14" s="919"/>
      <c r="O14" s="919"/>
      <c r="P14" s="920"/>
    </row>
    <row r="15" spans="3:16" ht="15" customHeight="1">
      <c r="C15" s="918"/>
      <c r="D15" s="919"/>
      <c r="E15" s="919"/>
      <c r="F15" s="919"/>
      <c r="G15" s="919"/>
      <c r="H15" s="919"/>
      <c r="I15" s="919"/>
      <c r="J15" s="919"/>
      <c r="K15" s="919"/>
      <c r="L15" s="919"/>
      <c r="M15" s="919"/>
      <c r="N15" s="919"/>
      <c r="O15" s="919"/>
      <c r="P15" s="920"/>
    </row>
    <row r="16" spans="3:16" ht="15" customHeight="1">
      <c r="C16" s="918"/>
      <c r="D16" s="919"/>
      <c r="E16" s="919"/>
      <c r="F16" s="919"/>
      <c r="G16" s="919"/>
      <c r="H16" s="919"/>
      <c r="I16" s="919"/>
      <c r="J16" s="919"/>
      <c r="K16" s="919"/>
      <c r="L16" s="919"/>
      <c r="M16" s="919"/>
      <c r="N16" s="919"/>
      <c r="O16" s="919"/>
      <c r="P16" s="920"/>
    </row>
    <row r="17" spans="3:16" ht="15" customHeight="1">
      <c r="C17" s="918"/>
      <c r="D17" s="921"/>
      <c r="E17" s="921"/>
      <c r="F17" s="921"/>
      <c r="G17" s="921"/>
      <c r="H17" s="921"/>
      <c r="I17" s="921"/>
      <c r="J17" s="921"/>
      <c r="K17" s="921"/>
      <c r="L17" s="921"/>
      <c r="M17" s="921"/>
      <c r="N17" s="921"/>
      <c r="O17" s="921"/>
      <c r="P17" s="922"/>
    </row>
    <row r="18" spans="3:16" ht="15" customHeight="1">
      <c r="C18" s="918"/>
      <c r="D18" s="921"/>
      <c r="E18" s="921"/>
      <c r="F18" s="921"/>
      <c r="G18" s="921"/>
      <c r="H18" s="921"/>
      <c r="I18" s="921"/>
      <c r="J18" s="921"/>
      <c r="K18" s="921"/>
      <c r="L18" s="921"/>
      <c r="M18" s="921"/>
      <c r="N18" s="921"/>
      <c r="O18" s="921"/>
      <c r="P18" s="922"/>
    </row>
    <row r="19" spans="3:16" ht="15" customHeight="1">
      <c r="C19" s="909" t="s">
        <v>43</v>
      </c>
      <c r="D19" s="910"/>
      <c r="E19" s="910"/>
      <c r="F19" s="910"/>
      <c r="G19" s="910"/>
      <c r="H19" s="910"/>
      <c r="I19" s="910"/>
      <c r="J19" s="910"/>
      <c r="K19" s="910"/>
      <c r="L19" s="910"/>
      <c r="M19" s="910"/>
      <c r="N19" s="910"/>
      <c r="O19" s="910"/>
      <c r="P19" s="911"/>
    </row>
    <row r="20" spans="3:16" ht="15" customHeight="1">
      <c r="C20" s="918"/>
      <c r="D20" s="923"/>
      <c r="E20" s="923"/>
      <c r="F20" s="923"/>
      <c r="G20" s="923"/>
      <c r="H20" s="923"/>
      <c r="I20" s="923"/>
      <c r="J20" s="923"/>
      <c r="K20" s="923"/>
      <c r="L20" s="923"/>
      <c r="M20" s="923"/>
      <c r="N20" s="923"/>
      <c r="O20" s="923"/>
      <c r="P20" s="924"/>
    </row>
    <row r="21" spans="3:16" ht="15" customHeight="1">
      <c r="C21" s="918"/>
      <c r="D21" s="923"/>
      <c r="E21" s="923"/>
      <c r="F21" s="923"/>
      <c r="G21" s="923"/>
      <c r="H21" s="923"/>
      <c r="I21" s="923"/>
      <c r="J21" s="923"/>
      <c r="K21" s="923"/>
      <c r="L21" s="923"/>
      <c r="M21" s="923"/>
      <c r="N21" s="923"/>
      <c r="O21" s="923"/>
      <c r="P21" s="924"/>
    </row>
    <row r="22" spans="3:16" ht="15" customHeight="1">
      <c r="C22" s="918"/>
      <c r="D22" s="923"/>
      <c r="E22" s="923"/>
      <c r="F22" s="923"/>
      <c r="G22" s="923"/>
      <c r="H22" s="923"/>
      <c r="I22" s="923"/>
      <c r="J22" s="923"/>
      <c r="K22" s="923"/>
      <c r="L22" s="923"/>
      <c r="M22" s="923"/>
      <c r="N22" s="923"/>
      <c r="O22" s="923"/>
      <c r="P22" s="924"/>
    </row>
    <row r="23" spans="3:16" ht="15" customHeight="1">
      <c r="C23" s="918"/>
      <c r="D23" s="923"/>
      <c r="E23" s="923"/>
      <c r="F23" s="923"/>
      <c r="G23" s="923"/>
      <c r="H23" s="923"/>
      <c r="I23" s="923"/>
      <c r="J23" s="923"/>
      <c r="K23" s="923"/>
      <c r="L23" s="923"/>
      <c r="M23" s="923"/>
      <c r="N23" s="923"/>
      <c r="O23" s="923"/>
      <c r="P23" s="924"/>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59" t="s">
        <v>310</v>
      </c>
      <c r="C3" s="759"/>
      <c r="D3" s="759"/>
      <c r="E3" s="759"/>
      <c r="F3" s="759"/>
      <c r="G3" s="759"/>
      <c r="H3" s="759"/>
      <c r="I3" s="759"/>
      <c r="J3" s="759"/>
      <c r="K3" s="759"/>
    </row>
    <row r="4" ht="9.75" customHeight="1">
      <c r="C4" s="13"/>
    </row>
    <row r="5" spans="2:11" s="17" customFormat="1" ht="1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47" t="s">
        <v>591</v>
      </c>
      <c r="C7" s="747"/>
      <c r="D7" s="747"/>
      <c r="E7" s="747"/>
      <c r="F7" s="747"/>
      <c r="G7" s="747"/>
      <c r="H7" s="747"/>
      <c r="I7" s="747"/>
      <c r="J7" s="747"/>
      <c r="K7" s="747"/>
    </row>
    <row r="8" spans="2:11" s="10" customFormat="1" ht="7.5" customHeight="1">
      <c r="B8" s="39"/>
      <c r="C8" s="39"/>
      <c r="D8" s="39"/>
      <c r="E8" s="39"/>
      <c r="F8" s="39"/>
      <c r="G8" s="39"/>
      <c r="H8" s="39"/>
      <c r="I8" s="39"/>
      <c r="J8" s="39"/>
      <c r="K8" s="39"/>
    </row>
    <row r="9" spans="2:11" s="10" customFormat="1" ht="27" customHeight="1">
      <c r="B9" s="747"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49" t="s">
        <v>645</v>
      </c>
      <c r="C11" s="749"/>
      <c r="D11" s="749"/>
      <c r="E11" s="749"/>
      <c r="F11" s="749"/>
      <c r="G11" s="749"/>
      <c r="H11" s="749"/>
      <c r="I11" s="749"/>
      <c r="J11" s="749"/>
      <c r="K11" s="749"/>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65" t="s">
        <v>584</v>
      </c>
      <c r="C15" s="765"/>
      <c r="D15" s="765"/>
      <c r="E15" s="765"/>
      <c r="F15" s="765"/>
      <c r="G15" s="765"/>
      <c r="H15" s="765"/>
      <c r="I15" s="765"/>
      <c r="J15" s="765"/>
      <c r="K15" s="765"/>
    </row>
    <row r="16" spans="2:11" s="10" customFormat="1" ht="4.5" customHeight="1">
      <c r="B16" s="39"/>
      <c r="C16" s="39"/>
      <c r="D16" s="39"/>
      <c r="E16" s="39"/>
      <c r="F16" s="39"/>
      <c r="G16" s="39"/>
      <c r="H16" s="39"/>
      <c r="I16" s="39"/>
      <c r="J16" s="39"/>
      <c r="K16" s="39"/>
    </row>
    <row r="17" spans="2:11" s="10" customFormat="1" ht="29.25" customHeight="1">
      <c r="B17" s="747" t="s">
        <v>42</v>
      </c>
      <c r="C17" s="747"/>
      <c r="D17" s="747"/>
      <c r="E17" s="747"/>
      <c r="F17" s="747"/>
      <c r="G17" s="747"/>
      <c r="H17" s="747"/>
      <c r="I17" s="747"/>
      <c r="J17" s="747"/>
      <c r="K17" s="747"/>
    </row>
    <row r="18" spans="2:11" s="10" customFormat="1" ht="4.5" customHeight="1">
      <c r="B18" s="122"/>
      <c r="C18" s="122"/>
      <c r="D18" s="122"/>
      <c r="E18" s="122"/>
      <c r="F18" s="122"/>
      <c r="G18" s="122"/>
      <c r="H18" s="122"/>
      <c r="I18" s="122"/>
      <c r="J18" s="122"/>
      <c r="K18" s="122"/>
    </row>
    <row r="19" spans="2:11" s="10" customFormat="1" ht="26.25" customHeight="1">
      <c r="B19" s="747" t="s">
        <v>189</v>
      </c>
      <c r="C19" s="747"/>
      <c r="D19" s="747"/>
      <c r="E19" s="747"/>
      <c r="F19" s="747"/>
      <c r="G19" s="747"/>
      <c r="H19" s="747"/>
      <c r="I19" s="747"/>
      <c r="J19" s="747"/>
      <c r="K19" s="747"/>
    </row>
    <row r="20" spans="2:11" s="10" customFormat="1" ht="4.5" customHeight="1">
      <c r="B20" s="115"/>
      <c r="C20" s="115"/>
      <c r="D20" s="115"/>
      <c r="E20" s="115"/>
      <c r="F20" s="115"/>
      <c r="G20" s="115"/>
      <c r="H20" s="115"/>
      <c r="I20" s="115"/>
      <c r="J20" s="115"/>
      <c r="K20" s="115"/>
    </row>
    <row r="21" spans="2:11" s="10" customFormat="1" ht="26.25" customHeight="1">
      <c r="B21" s="747" t="s">
        <v>513</v>
      </c>
      <c r="C21" s="747"/>
      <c r="D21" s="747"/>
      <c r="E21" s="747"/>
      <c r="F21" s="747"/>
      <c r="G21" s="747"/>
      <c r="H21" s="747"/>
      <c r="I21" s="747"/>
      <c r="J21" s="747"/>
      <c r="K21" s="747"/>
    </row>
    <row r="22" spans="2:11" s="10" customFormat="1" ht="26.25" customHeight="1">
      <c r="B22" s="766" t="s">
        <v>74</v>
      </c>
      <c r="C22" s="766"/>
      <c r="D22" s="766"/>
      <c r="E22" s="766"/>
      <c r="F22" s="766"/>
      <c r="G22" s="766"/>
      <c r="H22" s="766"/>
      <c r="I22" s="766"/>
      <c r="J22" s="766"/>
      <c r="K22" s="766"/>
    </row>
    <row r="23" spans="2:11" s="10" customFormat="1" ht="6.75" customHeight="1">
      <c r="B23" s="124"/>
      <c r="C23" s="39"/>
      <c r="D23" s="39"/>
      <c r="E23" s="39"/>
      <c r="F23" s="39"/>
      <c r="G23" s="39"/>
      <c r="H23" s="39"/>
      <c r="I23" s="39"/>
      <c r="J23" s="39"/>
      <c r="K23" s="39"/>
    </row>
    <row r="24" spans="2:11" s="10" customFormat="1" ht="38.25" customHeight="1">
      <c r="B24" s="747" t="s">
        <v>583</v>
      </c>
      <c r="C24" s="747"/>
      <c r="D24" s="747"/>
      <c r="E24" s="764"/>
      <c r="F24" s="764"/>
      <c r="G24" s="764"/>
      <c r="H24" s="764"/>
      <c r="I24" s="764"/>
      <c r="J24" s="764"/>
      <c r="K24" s="764"/>
    </row>
    <row r="25" spans="2:11" s="10" customFormat="1" ht="8.25" customHeight="1">
      <c r="B25" s="747"/>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68"/>
      <c r="C29" s="768"/>
      <c r="D29" s="768"/>
      <c r="E29" s="768"/>
      <c r="F29" s="768"/>
      <c r="G29" s="768"/>
      <c r="H29" s="768"/>
      <c r="I29" s="768"/>
      <c r="J29" s="768"/>
      <c r="K29" s="768"/>
    </row>
    <row r="30" spans="2:11" s="50" customFormat="1" ht="15.75" customHeight="1">
      <c r="B30" s="126" t="s">
        <v>313</v>
      </c>
      <c r="C30" s="749" t="s">
        <v>179</v>
      </c>
      <c r="D30" s="749"/>
      <c r="E30" s="749"/>
      <c r="F30" s="749"/>
      <c r="G30" s="749"/>
      <c r="H30" s="749"/>
      <c r="I30" s="749"/>
      <c r="J30" s="749"/>
      <c r="K30" s="749"/>
    </row>
    <row r="31" spans="2:11" s="50" customFormat="1" ht="26.25" customHeight="1">
      <c r="B31" s="126" t="s">
        <v>313</v>
      </c>
      <c r="C31" s="767" t="s">
        <v>592</v>
      </c>
      <c r="D31" s="767"/>
      <c r="E31" s="767"/>
      <c r="F31" s="767"/>
      <c r="G31" s="767"/>
      <c r="H31" s="767"/>
      <c r="I31" s="767"/>
      <c r="J31" s="767"/>
      <c r="K31" s="767"/>
    </row>
    <row r="32" spans="2:11" s="40" customFormat="1" ht="51" customHeight="1">
      <c r="B32" s="126" t="s">
        <v>313</v>
      </c>
      <c r="C32" s="767" t="s">
        <v>101</v>
      </c>
      <c r="D32" s="767"/>
      <c r="E32" s="767"/>
      <c r="F32" s="767"/>
      <c r="G32" s="767"/>
      <c r="H32" s="767"/>
      <c r="I32" s="767"/>
      <c r="J32" s="767"/>
      <c r="K32" s="767"/>
    </row>
    <row r="33" spans="2:11" s="50" customFormat="1" ht="26.25" customHeight="1">
      <c r="B33" s="127" t="s">
        <v>313</v>
      </c>
      <c r="C33" s="770" t="s">
        <v>133</v>
      </c>
      <c r="D33" s="770"/>
      <c r="E33" s="770"/>
      <c r="F33" s="770"/>
      <c r="G33" s="770"/>
      <c r="H33" s="770"/>
      <c r="I33" s="770"/>
      <c r="J33" s="770"/>
      <c r="K33" s="770"/>
    </row>
    <row r="34" spans="2:11" s="50" customFormat="1" ht="27.75" customHeight="1">
      <c r="B34" s="127" t="s">
        <v>313</v>
      </c>
      <c r="C34" s="751" t="s">
        <v>180</v>
      </c>
      <c r="D34" s="751"/>
      <c r="E34" s="751"/>
      <c r="F34" s="751"/>
      <c r="G34" s="751"/>
      <c r="H34" s="751"/>
      <c r="I34" s="751"/>
      <c r="J34" s="751"/>
      <c r="K34" s="751"/>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8" t="s">
        <v>596</v>
      </c>
      <c r="D44" s="758"/>
      <c r="E44" s="758"/>
      <c r="F44" s="758"/>
      <c r="G44" s="758"/>
      <c r="H44" s="758"/>
      <c r="I44" s="758"/>
      <c r="J44" s="758"/>
      <c r="K44" s="758"/>
    </row>
    <row r="45" spans="2:11" s="37" customFormat="1" ht="9.75" customHeight="1">
      <c r="B45" s="133"/>
      <c r="C45" s="134"/>
      <c r="D45" s="135"/>
      <c r="E45" s="135"/>
      <c r="F45" s="135"/>
      <c r="G45" s="135"/>
      <c r="H45" s="135"/>
      <c r="I45" s="135"/>
      <c r="J45" s="135"/>
      <c r="K45" s="135"/>
    </row>
    <row r="46" spans="2:11" s="17" customFormat="1" ht="15.75" customHeight="1">
      <c r="B46" s="771" t="s">
        <v>485</v>
      </c>
      <c r="C46" s="772"/>
      <c r="D46" s="772"/>
      <c r="E46" s="772"/>
      <c r="F46" s="772"/>
      <c r="G46" s="772"/>
      <c r="H46" s="772"/>
      <c r="I46" s="772"/>
      <c r="J46" s="772"/>
      <c r="K46" s="772"/>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55" t="s">
        <v>245</v>
      </c>
      <c r="C49" s="756"/>
      <c r="D49" s="756"/>
      <c r="E49" s="756"/>
      <c r="F49" s="756"/>
      <c r="G49" s="756"/>
      <c r="H49" s="756"/>
      <c r="I49" s="756"/>
      <c r="J49" s="756"/>
      <c r="K49" s="757"/>
    </row>
    <row r="50" spans="2:11" ht="24" customHeight="1">
      <c r="B50" s="752" t="s">
        <v>86</v>
      </c>
      <c r="C50" s="753"/>
      <c r="D50" s="753"/>
      <c r="E50" s="753"/>
      <c r="F50" s="753"/>
      <c r="G50" s="753"/>
      <c r="H50" s="753"/>
      <c r="I50" s="753"/>
      <c r="J50" s="753"/>
      <c r="K50" s="754"/>
    </row>
    <row r="51" spans="2:11" ht="79.5" customHeight="1">
      <c r="B51" s="755" t="s">
        <v>212</v>
      </c>
      <c r="C51" s="756"/>
      <c r="D51" s="756"/>
      <c r="E51" s="756"/>
      <c r="F51" s="756"/>
      <c r="G51" s="756"/>
      <c r="H51" s="756"/>
      <c r="I51" s="756"/>
      <c r="J51" s="756"/>
      <c r="K51" s="757"/>
    </row>
    <row r="52" spans="2:11" ht="24" customHeight="1">
      <c r="B52" s="752" t="s">
        <v>197</v>
      </c>
      <c r="C52" s="753"/>
      <c r="D52" s="753"/>
      <c r="E52" s="753"/>
      <c r="F52" s="753"/>
      <c r="G52" s="753"/>
      <c r="H52" s="753"/>
      <c r="I52" s="753"/>
      <c r="J52" s="753"/>
      <c r="K52" s="754"/>
    </row>
    <row r="53" spans="2:11" ht="52.5" customHeight="1">
      <c r="B53" s="755" t="s">
        <v>103</v>
      </c>
      <c r="C53" s="756"/>
      <c r="D53" s="756"/>
      <c r="E53" s="756"/>
      <c r="F53" s="756"/>
      <c r="G53" s="756"/>
      <c r="H53" s="756"/>
      <c r="I53" s="756"/>
      <c r="J53" s="756"/>
      <c r="K53" s="757"/>
    </row>
    <row r="54" spans="2:11" ht="24" customHeight="1">
      <c r="B54" s="752" t="s">
        <v>123</v>
      </c>
      <c r="C54" s="753"/>
      <c r="D54" s="753"/>
      <c r="E54" s="753"/>
      <c r="F54" s="753"/>
      <c r="G54" s="753"/>
      <c r="H54" s="753"/>
      <c r="I54" s="753"/>
      <c r="J54" s="753"/>
      <c r="K54" s="754"/>
    </row>
    <row r="55" spans="2:11" ht="51.75" customHeight="1">
      <c r="B55" s="755" t="s">
        <v>204</v>
      </c>
      <c r="C55" s="756"/>
      <c r="D55" s="756"/>
      <c r="E55" s="756"/>
      <c r="F55" s="756"/>
      <c r="G55" s="756"/>
      <c r="H55" s="756"/>
      <c r="I55" s="756"/>
      <c r="J55" s="756"/>
      <c r="K55" s="757"/>
    </row>
    <row r="56" spans="2:11" ht="24" customHeight="1">
      <c r="B56" s="752" t="s">
        <v>124</v>
      </c>
      <c r="C56" s="753"/>
      <c r="D56" s="753"/>
      <c r="E56" s="753"/>
      <c r="F56" s="753"/>
      <c r="G56" s="753"/>
      <c r="H56" s="753"/>
      <c r="I56" s="753"/>
      <c r="J56" s="753"/>
      <c r="K56" s="754"/>
    </row>
    <row r="57" spans="2:11" ht="27" customHeight="1">
      <c r="B57" s="755" t="s">
        <v>10</v>
      </c>
      <c r="C57" s="756"/>
      <c r="D57" s="756"/>
      <c r="E57" s="756"/>
      <c r="F57" s="756"/>
      <c r="G57" s="756"/>
      <c r="H57" s="756"/>
      <c r="I57" s="756"/>
      <c r="J57" s="756"/>
      <c r="K57" s="757"/>
    </row>
    <row r="58" spans="2:11" s="17" customFormat="1" ht="24" customHeight="1">
      <c r="B58" s="752" t="s">
        <v>198</v>
      </c>
      <c r="C58" s="753"/>
      <c r="D58" s="753"/>
      <c r="E58" s="753"/>
      <c r="F58" s="753"/>
      <c r="G58" s="753"/>
      <c r="H58" s="753"/>
      <c r="I58" s="753"/>
      <c r="J58" s="753"/>
      <c r="K58" s="754"/>
    </row>
    <row r="59" spans="2:11" ht="52.5" customHeight="1">
      <c r="B59" s="755" t="s">
        <v>104</v>
      </c>
      <c r="C59" s="756"/>
      <c r="D59" s="756"/>
      <c r="E59" s="756"/>
      <c r="F59" s="756"/>
      <c r="G59" s="756"/>
      <c r="H59" s="756"/>
      <c r="I59" s="756"/>
      <c r="J59" s="756"/>
      <c r="K59" s="757"/>
    </row>
    <row r="60" spans="2:11" ht="24" customHeight="1">
      <c r="B60" s="128"/>
      <c r="C60" s="128"/>
      <c r="D60" s="128"/>
      <c r="E60" s="128"/>
      <c r="F60" s="128"/>
      <c r="G60" s="128"/>
      <c r="H60" s="128"/>
      <c r="I60" s="128"/>
      <c r="J60" s="128"/>
      <c r="K60" s="128"/>
    </row>
    <row r="61" spans="2:11" ht="15.75" customHeight="1">
      <c r="B61" s="750" t="s">
        <v>269</v>
      </c>
      <c r="C61" s="750"/>
      <c r="D61" s="750"/>
      <c r="E61" s="750"/>
      <c r="F61" s="750"/>
      <c r="G61" s="750"/>
      <c r="H61" s="750"/>
      <c r="I61" s="750"/>
      <c r="J61" s="750"/>
      <c r="K61" s="75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3" t="s">
        <v>305</v>
      </c>
      <c r="C3" s="773"/>
      <c r="D3" s="773"/>
    </row>
    <row r="4" spans="2:4" ht="12.75" customHeight="1">
      <c r="B4" s="97"/>
      <c r="C4" s="137"/>
      <c r="D4" s="138"/>
    </row>
    <row r="5" spans="2:4" ht="15">
      <c r="B5" s="774" t="s">
        <v>131</v>
      </c>
      <c r="C5" s="774"/>
      <c r="D5" s="774"/>
    </row>
    <row r="6" spans="2:7" s="11" customFormat="1" ht="40.5" customHeight="1" thickBot="1">
      <c r="B6" s="776" t="s">
        <v>558</v>
      </c>
      <c r="C6" s="777"/>
      <c r="D6" s="77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5" t="s">
        <v>303</v>
      </c>
      <c r="C17" s="775"/>
      <c r="D17" s="77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4.7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5.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2" t="s">
        <v>194</v>
      </c>
      <c r="E2" s="782"/>
      <c r="F2" s="782"/>
      <c r="G2" s="782"/>
      <c r="H2" s="782"/>
      <c r="I2" s="782"/>
      <c r="J2" s="782"/>
      <c r="K2" s="782"/>
      <c r="L2" s="782"/>
      <c r="M2" s="782"/>
      <c r="N2" s="782"/>
      <c r="O2" s="782"/>
      <c r="P2" s="782"/>
      <c r="Q2" s="782"/>
      <c r="R2" s="782"/>
      <c r="S2" s="782"/>
      <c r="T2" s="782"/>
      <c r="U2" s="782"/>
      <c r="V2" s="782"/>
      <c r="W2" s="78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3" t="s">
        <v>253</v>
      </c>
      <c r="E3" s="783"/>
      <c r="F3" s="783"/>
      <c r="G3" s="783"/>
      <c r="H3" s="783"/>
      <c r="I3" s="783"/>
      <c r="J3" s="783"/>
      <c r="K3" s="783"/>
      <c r="L3" s="783"/>
      <c r="M3" s="783"/>
      <c r="N3" s="783"/>
      <c r="O3" s="783"/>
      <c r="P3" s="783"/>
      <c r="Q3" s="783"/>
      <c r="R3" s="783"/>
      <c r="S3" s="783"/>
      <c r="T3" s="783"/>
      <c r="U3" s="783"/>
      <c r="V3" s="783"/>
      <c r="W3" s="78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4" t="str">
        <f>LEFT('W1'!D10,LEN('W1'!D10)-7)&amp;" (W1,3)"</f>
        <v>Internal flow (W1,3)</v>
      </c>
      <c r="G10" s="785"/>
      <c r="H10" s="83"/>
      <c r="J10" s="83"/>
      <c r="K10" s="83"/>
      <c r="L10" s="83"/>
      <c r="M10" s="83"/>
      <c r="N10" s="83"/>
      <c r="O10" s="83"/>
      <c r="P10" s="83"/>
      <c r="Q10" s="788" t="s">
        <v>75</v>
      </c>
      <c r="R10" s="778" t="s">
        <v>79</v>
      </c>
      <c r="S10" s="77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0" t="str">
        <f>'W1'!D13&amp;" (W1,6)"</f>
        <v>Outflow of surface and groundwaters to neighbouring countries (W1,6)</v>
      </c>
      <c r="J11" s="791"/>
      <c r="K11" s="83"/>
      <c r="L11" s="86"/>
      <c r="M11" s="86"/>
      <c r="N11" s="86"/>
      <c r="O11" s="83"/>
      <c r="P11" s="83"/>
      <c r="Q11" s="789"/>
      <c r="R11" s="780"/>
      <c r="S11" s="78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0" t="str">
        <f>'W1'!D16&amp;" (W1,9)"</f>
        <v>Outflow of surface and groundwaters to the sea (W1,9)</v>
      </c>
      <c r="J13" s="79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2" t="str">
        <f>'W2'!D13</f>
        <v>of which abstracted by:</v>
      </c>
      <c r="E15" s="793"/>
      <c r="F15" s="793"/>
      <c r="G15" s="793"/>
      <c r="H15" s="793"/>
      <c r="I15" s="793"/>
      <c r="J15" s="793"/>
      <c r="K15" s="79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96"/>
      <c r="F19" s="796"/>
      <c r="G19" s="796"/>
      <c r="H19" s="796"/>
      <c r="I19" s="796"/>
      <c r="J19" s="796"/>
      <c r="K19" s="787"/>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1" t="str">
        <f>LEFT('W2'!D28,LEN('W2'!D28)-17)&amp;" (W2,20)"</f>
        <v>Total freshwater available for use (W2,20)</v>
      </c>
      <c r="P22" s="83"/>
      <c r="Q22" s="80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5"/>
      <c r="E23" s="795"/>
      <c r="F23" s="83"/>
      <c r="G23" s="786" t="str">
        <f>'W2'!D11&amp;" (W2,4)"</f>
        <v>Water returned without use (W2,4)</v>
      </c>
      <c r="H23" s="787"/>
      <c r="J23" s="786" t="str">
        <f>'W2'!D24&amp;" (W2,16)"</f>
        <v>Desalinated water (W2,16)</v>
      </c>
      <c r="K23" s="787"/>
      <c r="L23" s="83"/>
      <c r="M23" s="38"/>
      <c r="N23" s="83"/>
      <c r="O23" s="802"/>
      <c r="P23" s="83"/>
      <c r="Q23" s="802"/>
      <c r="R23" s="799" t="str">
        <f>'W2'!D31</f>
        <v>of which used by:</v>
      </c>
      <c r="S23" s="80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7"/>
      <c r="L27" s="83"/>
      <c r="M27" s="83"/>
      <c r="N27" s="83"/>
      <c r="O27" s="38"/>
      <c r="P27" s="79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0" zoomScaleNormal="80" zoomScaleSheetLayoutView="55" zoomScalePageLayoutView="70" workbookViewId="0" topLeftCell="C1">
      <selection activeCell="H8" sqref="H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710</v>
      </c>
      <c r="C3" s="185" t="s">
        <v>296</v>
      </c>
      <c r="D3" s="512" t="s">
        <v>456</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B4" s="652"/>
    </row>
    <row r="5" spans="1:86" s="196" customFormat="1" ht="17.25" customHeight="1">
      <c r="A5" s="192"/>
      <c r="B5" s="163">
        <v>1</v>
      </c>
      <c r="C5" s="814" t="s">
        <v>436</v>
      </c>
      <c r="D5" s="814"/>
      <c r="E5" s="815"/>
      <c r="F5" s="815"/>
      <c r="G5" s="815"/>
      <c r="H5" s="816"/>
      <c r="I5" s="816"/>
      <c r="J5" s="816"/>
      <c r="K5" s="816"/>
      <c r="L5" s="816"/>
      <c r="M5" s="816"/>
      <c r="N5" s="816"/>
      <c r="O5" s="816"/>
      <c r="P5" s="816"/>
      <c r="Q5" s="816"/>
      <c r="R5" s="816"/>
      <c r="S5" s="816"/>
      <c r="T5" s="816"/>
      <c r="U5" s="816"/>
      <c r="V5" s="816"/>
      <c r="W5" s="815"/>
      <c r="X5" s="816"/>
      <c r="Y5" s="815"/>
      <c r="Z5" s="816"/>
      <c r="AA5" s="815"/>
      <c r="AB5" s="816"/>
      <c r="AC5" s="815"/>
      <c r="AD5" s="816"/>
      <c r="AE5" s="815"/>
      <c r="AF5" s="816"/>
      <c r="AG5" s="815"/>
      <c r="AH5" s="816"/>
      <c r="AI5" s="816"/>
      <c r="AJ5" s="816"/>
      <c r="AK5" s="815"/>
      <c r="AL5" s="816"/>
      <c r="AM5" s="815"/>
      <c r="AN5" s="816"/>
      <c r="AO5" s="815"/>
      <c r="AP5" s="815"/>
      <c r="AQ5" s="815"/>
      <c r="AR5" s="815"/>
      <c r="AS5" s="815"/>
      <c r="AT5" s="816"/>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3"/>
      <c r="CD5" s="813"/>
      <c r="CE5" s="813"/>
      <c r="CF5" s="813"/>
      <c r="CG5" s="569"/>
      <c r="CH5" s="569"/>
    </row>
    <row r="6" spans="5:86" ht="15.75" customHeight="1">
      <c r="E6" s="198"/>
      <c r="F6" s="199"/>
      <c r="H6" s="588" t="s">
        <v>490</v>
      </c>
      <c r="Z6" s="203"/>
      <c r="AB6" s="823"/>
      <c r="AC6" s="824"/>
      <c r="AD6" s="824"/>
      <c r="AE6" s="824"/>
      <c r="AF6" s="824"/>
      <c r="AG6" s="824"/>
      <c r="AH6" s="824"/>
      <c r="AI6" s="824"/>
      <c r="AJ6" s="824"/>
      <c r="AK6" s="825"/>
      <c r="AL6" s="825"/>
      <c r="AM6" s="825"/>
      <c r="AN6" s="825"/>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v>524600</v>
      </c>
      <c r="G8" s="523"/>
      <c r="H8" s="513">
        <v>548600</v>
      </c>
      <c r="I8" s="523"/>
      <c r="J8" s="513">
        <v>822358.4098142458</v>
      </c>
      <c r="K8" s="523"/>
      <c r="L8" s="513">
        <v>659770.6224152467</v>
      </c>
      <c r="M8" s="523"/>
      <c r="N8" s="513">
        <v>544245.6237667209</v>
      </c>
      <c r="O8" s="523"/>
      <c r="P8" s="513">
        <v>758295.9084724603</v>
      </c>
      <c r="Q8" s="523"/>
      <c r="R8" s="513">
        <v>630553.3202326114</v>
      </c>
      <c r="S8" s="523"/>
      <c r="T8" s="513">
        <v>937486.3235158612</v>
      </c>
      <c r="U8" s="523"/>
      <c r="V8" s="513">
        <v>696138.3136458383</v>
      </c>
      <c r="W8" s="523"/>
      <c r="X8" s="513">
        <v>700023.0933574921</v>
      </c>
      <c r="Y8" s="523"/>
      <c r="Z8" s="513">
        <v>769458.6250940581</v>
      </c>
      <c r="AA8" s="523"/>
      <c r="AB8" s="513">
        <v>770999.4595899853</v>
      </c>
      <c r="AC8" s="523"/>
      <c r="AD8" s="513">
        <v>819269.6848217396</v>
      </c>
      <c r="AE8" s="523"/>
      <c r="AF8" s="513">
        <v>732617.1145224501</v>
      </c>
      <c r="AG8" s="523"/>
      <c r="AH8" s="513">
        <v>721382.7952445626</v>
      </c>
      <c r="AI8" s="523"/>
      <c r="AJ8" s="513">
        <v>708081.2818629034</v>
      </c>
      <c r="AK8" s="523"/>
      <c r="AL8" s="513">
        <v>491133.6073980481</v>
      </c>
      <c r="AM8" s="523"/>
      <c r="AN8" s="513">
        <v>741870.3454666666</v>
      </c>
      <c r="AO8" s="523"/>
      <c r="AP8" s="513">
        <v>742505.8054316364</v>
      </c>
      <c r="AQ8" s="523"/>
      <c r="AR8" s="513">
        <v>637374.8470501459</v>
      </c>
      <c r="AS8" s="523"/>
      <c r="AT8" s="513">
        <v>667699.6960271879</v>
      </c>
      <c r="AU8" s="523"/>
      <c r="AV8" s="513">
        <v>730566.7042135611</v>
      </c>
      <c r="AW8" s="523"/>
      <c r="AX8" s="513">
        <v>857534.1443908435</v>
      </c>
      <c r="AY8" s="523"/>
      <c r="BA8" s="659"/>
      <c r="BB8" s="660">
        <v>1</v>
      </c>
      <c r="BC8" s="661" t="s">
        <v>77</v>
      </c>
      <c r="BD8" s="662" t="s">
        <v>78</v>
      </c>
      <c r="BE8" s="660" t="str">
        <f>IF(OR(ISERR(AVERAGE(H8:AY8)),ISBLANK(F8)),"N/A",IF(OR(F8&lt;AVERAGE(H8:AY8)*0.75,F8&gt;AVERAGE(H8:AY8)*1.25),"&lt;&gt;Average","ok"))</f>
        <v>&lt;&gt;Average</v>
      </c>
      <c r="BF8" s="663" t="s">
        <v>82</v>
      </c>
      <c r="BG8" s="660" t="str">
        <f aca="true" t="shared" si="0" ref="BG8:BG16">IF(OR(ISBLANK(H8),ISBLANK(J8)),"N/A",IF(ABS((J8-H8)/H8)&gt;1,"&gt; 100%","ok"))</f>
        <v>ok</v>
      </c>
      <c r="BH8" s="664" t="str">
        <f>IF(OR(ISBLANK(L8),ISBLANK(J8)),"N/A",IF(ABS((L8-J8)/J8)&gt;1,"&gt; 100%","ok"))</f>
        <v>ok</v>
      </c>
      <c r="BI8" s="664" t="str">
        <f aca="true" t="shared" si="1" ref="BI8:BI16">IF(OR(ISBLANK(N8),ISBLANK(L8)),"N/A",IF(ABS((N8-L8)/L8)&gt;0.25,"&gt; 25%","ok"))</f>
        <v>ok</v>
      </c>
      <c r="BJ8" s="664" t="str">
        <f aca="true" t="shared" si="2" ref="BJ8:BJ16">IF(OR(ISBLANK(P8),ISBLANK(N8)),"N/A",IF(ABS((P8-N8)/N8)&gt;0.25,"&gt; 25%","ok"))</f>
        <v>&gt; 25%</v>
      </c>
      <c r="BK8" s="664" t="str">
        <f aca="true" t="shared" si="3" ref="BK8:BK16">IF(OR(ISBLANK(R8),ISBLANK(P8)),"N/A",IF(ABS((R8-P8)/P8)&gt;0.25,"&gt; 25%","ok"))</f>
        <v>ok</v>
      </c>
      <c r="BL8" s="664" t="str">
        <f aca="true" t="shared" si="4" ref="BL8:BL16">IF(OR(ISBLANK(T8),ISBLANK(R8)),"N/A",IF(ABS((T8-R8)/R8)&gt;0.25,"&gt; 25%","ok"))</f>
        <v>&gt; 25%</v>
      </c>
      <c r="BM8" s="664" t="str">
        <f aca="true" t="shared" si="5" ref="BM8:BM16">IF(OR(ISBLANK(V8),ISBLANK(T8)),"N/A",IF(ABS((V8-T8)/T8)&gt;0.25,"&gt; 25%","ok"))</f>
        <v>&gt; 25%</v>
      </c>
      <c r="BN8" s="664" t="str">
        <f aca="true" t="shared" si="6" ref="BN8:BN16">IF(OR(ISBLANK(X8),ISBLANK(V8)),"N/A",IF(ABS((X8-V8)/V8)&gt;0.25,"&gt; 25%","ok"))</f>
        <v>ok</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ok</v>
      </c>
      <c r="BS8" s="664" t="str">
        <f aca="true" t="shared" si="11" ref="BS8:BS16">IF(OR(ISBLANK(AH8),ISBLANK(AF8)),"N/A",IF(ABS((AH8-AF8)/AF8)&gt;0.25,"&gt; 25%","ok"))</f>
        <v>ok</v>
      </c>
      <c r="BT8" s="664" t="str">
        <f aca="true" t="shared" si="12" ref="BT8:BT16">IF(OR(ISBLANK(AJ8),ISBLANK(AH8)),"N/A",IF(ABS((AJ8-AH8)/AH8)&gt;0.25,"&gt; 25%","ok"))</f>
        <v>ok</v>
      </c>
      <c r="BU8" s="664" t="str">
        <f aca="true" t="shared" si="13" ref="BU8:BU16">IF(OR(ISBLANK(AL8),ISBLANK(AJ8)),"N/A",IF(ABS((AL8-AJ8)/AJ8)&gt;0.25,"&gt; 25%","ok"))</f>
        <v>&gt; 25%</v>
      </c>
      <c r="BV8" s="664" t="str">
        <f aca="true" t="shared" si="14" ref="BV8:BV16">IF(OR(ISBLANK(AN8),ISBLANK(AL8)),"N/A",IF(ABS((AN8-AL8)/AL8)&gt;0.25,"&gt; 25%","ok"))</f>
        <v>&gt; 25%</v>
      </c>
      <c r="BW8" s="664" t="str">
        <f aca="true" t="shared" si="15" ref="BW8:BW16">IF(OR(ISBLANK(AP8),ISBLANK(AN8)),"N/A",IF(ABS((AP8-AN8)/AN8)&gt;0.25,"&gt; 25%","ok"))</f>
        <v>ok</v>
      </c>
      <c r="BX8" s="664" t="str">
        <f aca="true" t="shared" si="16" ref="BX8:BX16">IF(OR(ISBLANK(AR8),ISBLANK(AP8)),"N/A",IF(ABS((AR8-AP8)/AP8)&gt;0.25,"&gt; 25%","ok"))</f>
        <v>ok</v>
      </c>
      <c r="BY8" s="664" t="str">
        <f>IF(OR(ISBLANK(AT8),ISBLANK(AR8)),"N/A",IF(ABS((AT8-AR8)/AR8)&gt;0.25,"&gt; 25%","ok"))</f>
        <v>ok</v>
      </c>
      <c r="BZ8" s="664" t="str">
        <f aca="true" t="shared" si="17" ref="BZ8:BZ16">IF(OR(ISBLANK(AV8),ISBLANK(AT8)),"N/A",IF(ABS((AV8-AT8)/AT8)&gt;0.25,"&gt; 25%","ok"))</f>
        <v>ok</v>
      </c>
      <c r="CA8" s="664" t="str">
        <f aca="true" t="shared" si="18" ref="CA8:CA16">IF(OR(ISBLANK(AX8),ISBLANK(AV8)),"N/A",IF(ABS((AX8-AV8)/AV8)&gt;0.25,"&gt; 25%","ok"))</f>
        <v>ok</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v>480900</v>
      </c>
      <c r="G9" s="524"/>
      <c r="H9" s="538">
        <v>55400</v>
      </c>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&lt;&gt;Average</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v>49040</v>
      </c>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v>7273</v>
      </c>
      <c r="G11" s="524"/>
      <c r="H11" s="538">
        <v>5260</v>
      </c>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&lt;&gt;Average</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v>31738</v>
      </c>
      <c r="G12" s="525"/>
      <c r="H12" s="539">
        <v>54300</v>
      </c>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&lt;&gt;Average</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7" t="s">
        <v>258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7" t="s">
        <v>241</v>
      </c>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B21" s="660">
        <v>3</v>
      </c>
      <c r="BC21" s="666" t="s">
        <v>19</v>
      </c>
      <c r="BD21" s="665" t="s">
        <v>298</v>
      </c>
      <c r="BE21" s="665">
        <f>F10</f>
        <v>0</v>
      </c>
      <c r="BF21" s="665">
        <f>H10</f>
        <v>49040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7" t="s">
        <v>143</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B22" s="680">
        <v>10</v>
      </c>
      <c r="BC22" s="681" t="s">
        <v>37</v>
      </c>
      <c r="BD22" s="665" t="s">
        <v>298</v>
      </c>
      <c r="BE22" s="665">
        <f>(F8-F9)</f>
        <v>43700</v>
      </c>
      <c r="BF22" s="665">
        <f>(H8-H9)</f>
        <v>493200</v>
      </c>
      <c r="BG22" s="665">
        <f>(J8-J9)</f>
        <v>822358.4098142458</v>
      </c>
      <c r="BH22" s="665">
        <f>(L8-L9)</f>
        <v>659770.6224152467</v>
      </c>
      <c r="BI22" s="665">
        <f>(N8-N9)</f>
        <v>544245.6237667209</v>
      </c>
      <c r="BJ22" s="665">
        <f>(P8-P9)</f>
        <v>758295.9084724603</v>
      </c>
      <c r="BK22" s="665">
        <f>(R8-R9)</f>
        <v>630553.3202326114</v>
      </c>
      <c r="BL22" s="665">
        <f>(T8-T9)</f>
        <v>937486.3235158612</v>
      </c>
      <c r="BM22" s="665">
        <f>(V8-V9)</f>
        <v>696138.3136458383</v>
      </c>
      <c r="BN22" s="665">
        <f>(X8-X9)</f>
        <v>700023.0933574921</v>
      </c>
      <c r="BO22" s="665">
        <f>(Z8-Z9)</f>
        <v>769458.6250940581</v>
      </c>
      <c r="BP22" s="665">
        <f>(AB8-AB9)</f>
        <v>770999.4595899853</v>
      </c>
      <c r="BQ22" s="665">
        <f>(AD8-AD9)</f>
        <v>819269.6848217396</v>
      </c>
      <c r="BR22" s="665">
        <f>(AF8-AF9)</f>
        <v>732617.1145224501</v>
      </c>
      <c r="BS22" s="665">
        <f>(AH8-AH9)</f>
        <v>721382.7952445626</v>
      </c>
      <c r="BT22" s="665">
        <f>(AJ8-AJ9)</f>
        <v>708081.2818629034</v>
      </c>
      <c r="BU22" s="665">
        <f>(AL8-AL9)</f>
        <v>491133.6073980481</v>
      </c>
      <c r="BV22" s="665">
        <f>(AN8-AN9)</f>
        <v>741870.3454666666</v>
      </c>
      <c r="BW22" s="665">
        <f>(AP8-AP9)</f>
        <v>742505.8054316364</v>
      </c>
      <c r="BX22" s="665">
        <f>(AR8-AR9)</f>
        <v>637374.8470501459</v>
      </c>
      <c r="BY22" s="665">
        <f>(AT8-AT9)</f>
        <v>667699.6960271879</v>
      </c>
      <c r="BZ22" s="665">
        <f>(AV8-AV9)</f>
        <v>730566.7042135611</v>
      </c>
      <c r="CA22" s="665">
        <f>(AX8-AX9)</f>
        <v>857534.1443908435</v>
      </c>
      <c r="CB22" s="489"/>
      <c r="CC22" s="644">
        <v>204</v>
      </c>
      <c r="CD22" s="644" t="s">
        <v>337</v>
      </c>
      <c r="CE22" s="645">
        <v>119235.64</v>
      </c>
      <c r="CF22" s="646">
        <v>10300</v>
      </c>
      <c r="CG22" s="646">
        <v>0</v>
      </c>
      <c r="CH22" s="646">
        <v>26390</v>
      </c>
    </row>
    <row r="23" spans="1:86" ht="15.75" customHeight="1">
      <c r="A23" s="247"/>
      <c r="B23" s="247"/>
      <c r="C23" s="245" t="s">
        <v>142</v>
      </c>
      <c r="D23" s="817" t="s">
        <v>110</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682"/>
      <c r="BB23" s="683" t="s">
        <v>176</v>
      </c>
      <c r="BC23" s="681" t="s">
        <v>217</v>
      </c>
      <c r="BD23" s="665"/>
      <c r="BE23" s="665" t="str">
        <f>IF(OR(ISBLANK(F8),ISBLANK(F9),ISBLANK(F10)),"N/A",IF((BE21=BE22),"ok","&lt;&gt;"))</f>
        <v>N/A</v>
      </c>
      <c r="BF23" s="665" t="str">
        <f>IF(OR(ISBLANK(H8),ISBLANK(H9),ISBLANK(H10)),"N/A",IF((BF21=BF22),"ok","&lt;&gt;"))</f>
        <v>&lt;&gt;</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B24" s="660">
        <v>5</v>
      </c>
      <c r="BC24" s="670" t="s">
        <v>18</v>
      </c>
      <c r="BD24" s="665" t="s">
        <v>298</v>
      </c>
      <c r="BE24" s="665">
        <f>F12</f>
        <v>31738</v>
      </c>
      <c r="BF24" s="665">
        <f>H12</f>
        <v>54300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7273</v>
      </c>
      <c r="BF25" s="665">
        <f>H10+H11</f>
        <v>54300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3" t="str">
        <f>D8&amp;" (W1, 1)"</f>
        <v>Precipitation                               (W1, 1)</v>
      </c>
      <c r="G26" s="834"/>
      <c r="H26" s="834"/>
      <c r="I26" s="835"/>
      <c r="J26" s="255"/>
      <c r="K26" s="255"/>
      <c r="L26" s="255"/>
      <c r="M26" s="833" t="str">
        <f>D9&amp;"(W1, 2)"</f>
        <v>Actual evapotranspiration(W1, 2)</v>
      </c>
      <c r="N26" s="836"/>
      <c r="O26" s="836"/>
      <c r="P26" s="836"/>
      <c r="Q26" s="837"/>
      <c r="R26" s="253"/>
      <c r="S26" s="255"/>
      <c r="T26" s="255"/>
      <c r="U26" s="255"/>
      <c r="V26" s="255"/>
      <c r="W26" s="255"/>
      <c r="X26" s="255"/>
      <c r="Y26" s="255"/>
      <c r="Z26" s="255"/>
      <c r="AA26" s="254"/>
      <c r="AB26" s="803"/>
      <c r="AC26" s="803"/>
      <c r="AD26" s="803"/>
      <c r="AE26" s="803"/>
      <c r="AF26" s="256"/>
      <c r="AG26" s="256"/>
      <c r="AH26" s="256"/>
      <c r="AI26" s="256"/>
      <c r="AJ26" s="803"/>
      <c r="AK26" s="831"/>
      <c r="AL26" s="831"/>
      <c r="AM26" s="831"/>
      <c r="AN26" s="831"/>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ok</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524600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3" t="str">
        <f>LEFT(D10,LEN(D10)-7)&amp;" (W1, 3)"</f>
        <v>Internal flow (W1, 3)</v>
      </c>
      <c r="I28" s="838"/>
      <c r="J28" s="838"/>
      <c r="K28" s="838"/>
      <c r="L28" s="838"/>
      <c r="M28" s="838"/>
      <c r="N28" s="838"/>
      <c r="O28" s="839"/>
      <c r="P28" s="254"/>
      <c r="Q28" s="254"/>
      <c r="R28" s="254"/>
      <c r="S28" s="254"/>
      <c r="T28" s="254"/>
      <c r="U28" s="254"/>
      <c r="V28" s="254"/>
      <c r="W28" s="254"/>
      <c r="X28" s="254"/>
      <c r="Y28" s="254"/>
      <c r="Z28" s="254"/>
      <c r="AA28" s="254"/>
      <c r="AB28" s="253"/>
      <c r="AC28" s="256"/>
      <c r="AD28" s="803"/>
      <c r="AE28" s="832"/>
      <c r="AF28" s="832"/>
      <c r="AG28" s="832"/>
      <c r="AH28" s="832"/>
      <c r="AI28" s="832"/>
      <c r="AJ28" s="832"/>
      <c r="AK28" s="832"/>
      <c r="AL28" s="832"/>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3" t="str">
        <f>D13&amp;" (W1, 6)"</f>
        <v>Outflow of surface and groundwaters to neighbouring countries (W1, 6)</v>
      </c>
      <c r="W29" s="834"/>
      <c r="X29" s="834"/>
      <c r="Y29" s="834"/>
      <c r="Z29" s="834"/>
      <c r="AA29" s="835"/>
      <c r="AB29" s="256"/>
      <c r="AC29" s="256"/>
      <c r="AD29" s="256"/>
      <c r="AE29" s="256"/>
      <c r="AF29" s="256"/>
      <c r="AG29" s="256"/>
      <c r="AH29" s="256"/>
      <c r="AI29" s="256"/>
      <c r="AJ29" s="256"/>
      <c r="AK29" s="256"/>
      <c r="AL29" s="256"/>
      <c r="AM29" s="256"/>
      <c r="AN29" s="256"/>
      <c r="AO29" s="256"/>
      <c r="AP29" s="256"/>
      <c r="AQ29" s="256"/>
      <c r="AR29" s="256"/>
      <c r="AS29" s="256"/>
      <c r="AT29" s="803"/>
      <c r="AU29" s="803"/>
      <c r="AV29" s="803"/>
      <c r="AW29" s="803"/>
      <c r="AX29" s="803"/>
      <c r="AY29" s="803"/>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3" t="str">
        <f>D11&amp;" (W1, 4)"</f>
        <v>Inflow of surface and groundwaters from neighbouring countries (W1, 4)</v>
      </c>
      <c r="G30" s="840"/>
      <c r="H30" s="840"/>
      <c r="I30" s="841"/>
      <c r="J30" s="255"/>
      <c r="K30" s="255"/>
      <c r="L30" s="255"/>
      <c r="M30" s="833" t="str">
        <f>LEFT(D12,LEN(D12)-7)&amp;" (W1, 5)"</f>
        <v>Renewable freshwater resources (W1, 5)</v>
      </c>
      <c r="N30" s="842"/>
      <c r="O30" s="842"/>
      <c r="P30" s="843"/>
      <c r="Q30" s="255"/>
      <c r="R30" s="255"/>
      <c r="S30" s="255"/>
      <c r="T30" s="255"/>
      <c r="U30" s="255"/>
      <c r="V30" s="255"/>
      <c r="W30" s="255"/>
      <c r="X30" s="255"/>
      <c r="Y30" s="255"/>
      <c r="Z30" s="255"/>
      <c r="AA30" s="255"/>
      <c r="AB30" s="803"/>
      <c r="AC30" s="822"/>
      <c r="AD30" s="822"/>
      <c r="AE30" s="822"/>
      <c r="AF30" s="256"/>
      <c r="AG30" s="256"/>
      <c r="AH30" s="256"/>
      <c r="AI30" s="256"/>
      <c r="AJ30" s="256"/>
      <c r="AK30" s="803"/>
      <c r="AL30" s="804"/>
      <c r="AM30" s="804"/>
      <c r="AN30" s="804"/>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3" t="str">
        <f>D16&amp;" (W1, 9)"</f>
        <v>Outflow of surface and groundwaters to the sea (W1, 9)</v>
      </c>
      <c r="W31" s="834"/>
      <c r="X31" s="834"/>
      <c r="Y31" s="834"/>
      <c r="Z31" s="834"/>
      <c r="AA31" s="835"/>
      <c r="AB31" s="803"/>
      <c r="AC31" s="822"/>
      <c r="AD31" s="822"/>
      <c r="AE31" s="822"/>
      <c r="AF31" s="553"/>
      <c r="AG31" s="257"/>
      <c r="AH31" s="253"/>
      <c r="AI31" s="253"/>
      <c r="AJ31" s="253"/>
      <c r="AK31" s="803"/>
      <c r="AL31" s="804"/>
      <c r="AM31" s="804"/>
      <c r="AN31" s="804"/>
      <c r="AO31" s="555"/>
      <c r="AP31" s="555"/>
      <c r="AQ31" s="190"/>
      <c r="AR31" s="190"/>
      <c r="AS31" s="190"/>
      <c r="AT31" s="803"/>
      <c r="AU31" s="803"/>
      <c r="AV31" s="803"/>
      <c r="AW31" s="803"/>
      <c r="AX31" s="803"/>
      <c r="AY31" s="803"/>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9.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7273</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8" t="s">
        <v>295</v>
      </c>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20"/>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3:86" ht="18" customHeight="1">
      <c r="C36" s="484"/>
      <c r="D36" s="828"/>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60">
        <v>5</v>
      </c>
      <c r="BC36" s="670" t="s">
        <v>18</v>
      </c>
      <c r="BD36" s="665" t="s">
        <v>298</v>
      </c>
      <c r="BE36" s="665">
        <f>F12</f>
        <v>31738</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7"/>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7"/>
      <c r="BB39" s="689" t="s">
        <v>55</v>
      </c>
      <c r="BC39" s="690" t="s">
        <v>56</v>
      </c>
      <c r="CB39" s="489"/>
      <c r="CC39" s="644">
        <v>344</v>
      </c>
      <c r="CD39" s="644" t="s">
        <v>352</v>
      </c>
      <c r="CE39" s="645">
        <v>0</v>
      </c>
      <c r="CF39" s="646">
        <v>0</v>
      </c>
      <c r="CG39" s="646">
        <v>0</v>
      </c>
      <c r="CH39" s="646">
        <v>0</v>
      </c>
    </row>
    <row r="40" spans="3:86"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7"/>
      <c r="BB40" s="689" t="s">
        <v>57</v>
      </c>
      <c r="BC40" s="690" t="s">
        <v>58</v>
      </c>
      <c r="CC40" s="644">
        <v>446</v>
      </c>
      <c r="CD40" s="644" t="s">
        <v>353</v>
      </c>
      <c r="CE40" s="645">
        <v>0</v>
      </c>
      <c r="CF40" s="646">
        <v>0</v>
      </c>
      <c r="CG40" s="646">
        <v>0</v>
      </c>
      <c r="CH40" s="646">
        <v>0</v>
      </c>
    </row>
    <row r="41" spans="3:86"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7"/>
      <c r="BB41" s="691" t="s">
        <v>60</v>
      </c>
      <c r="BC41" s="690" t="s">
        <v>62</v>
      </c>
      <c r="BD41" s="692"/>
      <c r="CC41" s="644">
        <v>170</v>
      </c>
      <c r="CD41" s="644" t="s">
        <v>354</v>
      </c>
      <c r="CE41" s="645">
        <v>3699270</v>
      </c>
      <c r="CF41" s="646">
        <v>2145000</v>
      </c>
      <c r="CG41" s="646">
        <v>215000</v>
      </c>
      <c r="CH41" s="646">
        <v>2360000</v>
      </c>
    </row>
    <row r="42" spans="3:86" ht="18" customHeight="1">
      <c r="C42" s="484"/>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7"/>
      <c r="BB42" s="691" t="s">
        <v>59</v>
      </c>
      <c r="BC42" s="690" t="s">
        <v>12</v>
      </c>
      <c r="BD42" s="692"/>
      <c r="CC42" s="644">
        <v>174</v>
      </c>
      <c r="CD42" s="644" t="s">
        <v>355</v>
      </c>
      <c r="CE42" s="645">
        <v>1674.9</v>
      </c>
      <c r="CF42" s="646">
        <v>1200</v>
      </c>
      <c r="CG42" s="646">
        <v>0</v>
      </c>
      <c r="CH42" s="646">
        <v>1200</v>
      </c>
    </row>
    <row r="43" spans="3:86" ht="18" customHeight="1">
      <c r="C43" s="484"/>
      <c r="D43" s="805"/>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7"/>
      <c r="BB43" s="689" t="s">
        <v>61</v>
      </c>
      <c r="BC43" s="690" t="s">
        <v>63</v>
      </c>
      <c r="BD43" s="692"/>
      <c r="CC43" s="644">
        <v>178</v>
      </c>
      <c r="CD43" s="644" t="s">
        <v>356</v>
      </c>
      <c r="CE43" s="645">
        <v>562932</v>
      </c>
      <c r="CF43" s="646">
        <v>222000</v>
      </c>
      <c r="CG43" s="646">
        <v>52000</v>
      </c>
      <c r="CH43" s="646">
        <v>832000</v>
      </c>
    </row>
    <row r="44" spans="3:86" ht="18" customHeight="1">
      <c r="C44" s="484"/>
      <c r="D44" s="805"/>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7"/>
      <c r="BD44" s="692"/>
      <c r="CC44" s="644">
        <v>188</v>
      </c>
      <c r="CD44" s="644" t="s">
        <v>357</v>
      </c>
      <c r="CE44" s="645">
        <v>149518.6</v>
      </c>
      <c r="CF44" s="646">
        <v>76840</v>
      </c>
      <c r="CG44" s="646">
        <v>0</v>
      </c>
      <c r="CH44" s="646">
        <v>113000</v>
      </c>
    </row>
    <row r="45" spans="3:86" ht="18" customHeight="1">
      <c r="C45" s="484"/>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7"/>
      <c r="CC45" s="644">
        <v>384</v>
      </c>
      <c r="CD45" s="644" t="s">
        <v>148</v>
      </c>
      <c r="CE45" s="645">
        <v>434676.08</v>
      </c>
      <c r="CF45" s="646">
        <v>37700</v>
      </c>
      <c r="CG45" s="646">
        <v>4300</v>
      </c>
      <c r="CH45" s="646">
        <v>84140</v>
      </c>
    </row>
    <row r="46" spans="3:86" ht="18" customHeight="1">
      <c r="C46" s="484"/>
      <c r="D46" s="805"/>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7"/>
      <c r="BD46" s="692"/>
      <c r="CC46" s="644">
        <v>191</v>
      </c>
      <c r="CD46" s="644" t="s">
        <v>358</v>
      </c>
      <c r="CE46" s="645">
        <v>62989.122</v>
      </c>
      <c r="CF46" s="646">
        <v>0</v>
      </c>
      <c r="CG46" s="646">
        <v>33470</v>
      </c>
      <c r="CH46" s="646">
        <v>105500</v>
      </c>
    </row>
    <row r="47" spans="3:86" ht="18" customHeight="1">
      <c r="C47" s="484"/>
      <c r="D47" s="805"/>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7"/>
      <c r="BB47" s="692"/>
      <c r="BC47" s="692"/>
      <c r="BD47" s="692"/>
      <c r="CC47" s="644">
        <v>192</v>
      </c>
      <c r="CD47" s="644" t="s">
        <v>359</v>
      </c>
      <c r="CE47" s="645">
        <v>146689.8</v>
      </c>
      <c r="CF47" s="646">
        <v>38120</v>
      </c>
      <c r="CG47" s="646">
        <v>0</v>
      </c>
      <c r="CH47" s="646">
        <v>38120</v>
      </c>
    </row>
    <row r="48" spans="3:86" ht="18" customHeight="1">
      <c r="C48" s="484"/>
      <c r="D48" s="805"/>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7"/>
      <c r="CC48" s="644">
        <v>196</v>
      </c>
      <c r="CD48" s="644" t="s">
        <v>360</v>
      </c>
      <c r="CE48" s="645">
        <v>4606.5</v>
      </c>
      <c r="CF48" s="646">
        <v>780</v>
      </c>
      <c r="CG48" s="646">
        <v>0</v>
      </c>
      <c r="CH48" s="646">
        <v>780</v>
      </c>
    </row>
    <row r="49" spans="3:86" ht="18" customHeight="1">
      <c r="C49" s="484"/>
      <c r="D49" s="805"/>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7"/>
      <c r="CC49" s="644">
        <v>408</v>
      </c>
      <c r="CD49" s="644" t="s">
        <v>149</v>
      </c>
      <c r="CE49" s="645">
        <v>127049.16</v>
      </c>
      <c r="CF49" s="646">
        <v>67000</v>
      </c>
      <c r="CG49" s="646">
        <v>0</v>
      </c>
      <c r="CH49" s="646">
        <v>77150</v>
      </c>
    </row>
    <row r="50" spans="3:86"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7"/>
      <c r="CC50" s="644">
        <v>180</v>
      </c>
      <c r="CD50" s="644" t="s">
        <v>150</v>
      </c>
      <c r="CE50" s="645">
        <v>3618118.98</v>
      </c>
      <c r="CF50" s="646">
        <v>900000</v>
      </c>
      <c r="CG50" s="646">
        <v>383000</v>
      </c>
      <c r="CH50" s="646">
        <v>1283000</v>
      </c>
    </row>
    <row r="51" spans="3:86"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7"/>
      <c r="CC51" s="644">
        <v>262</v>
      </c>
      <c r="CD51" s="644" t="s">
        <v>361</v>
      </c>
      <c r="CE51" s="645">
        <v>5104</v>
      </c>
      <c r="CF51" s="646">
        <v>300</v>
      </c>
      <c r="CG51" s="646">
        <v>0</v>
      </c>
      <c r="CH51" s="646">
        <v>300</v>
      </c>
    </row>
    <row r="52" spans="3:86"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7"/>
      <c r="CC52" s="644">
        <v>212</v>
      </c>
      <c r="CD52" s="644" t="s">
        <v>362</v>
      </c>
      <c r="CE52" s="645">
        <v>1562.25</v>
      </c>
      <c r="CF52" s="646">
        <v>200</v>
      </c>
      <c r="CG52" s="646">
        <v>0</v>
      </c>
      <c r="CH52" s="646">
        <v>200</v>
      </c>
    </row>
    <row r="53" spans="3:86"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7"/>
      <c r="CC53" s="644">
        <v>214</v>
      </c>
      <c r="CD53" s="644" t="s">
        <v>363</v>
      </c>
      <c r="CE53" s="645">
        <v>68624.7</v>
      </c>
      <c r="CF53" s="646">
        <v>23500</v>
      </c>
      <c r="CG53" s="646">
        <v>0</v>
      </c>
      <c r="CH53" s="646">
        <v>23500</v>
      </c>
    </row>
    <row r="54" spans="3:86"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7"/>
      <c r="CC54" s="644">
        <v>218</v>
      </c>
      <c r="CD54" s="644" t="s">
        <v>364</v>
      </c>
      <c r="CE54" s="645">
        <v>582985.38</v>
      </c>
      <c r="CF54" s="646">
        <v>442400</v>
      </c>
      <c r="CG54" s="646">
        <v>0</v>
      </c>
      <c r="CH54" s="646">
        <v>442400</v>
      </c>
    </row>
    <row r="55" spans="3:86"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7"/>
      <c r="CC55" s="644">
        <v>818</v>
      </c>
      <c r="CD55" s="644" t="s">
        <v>365</v>
      </c>
      <c r="CE55" s="645">
        <v>18126.245000000003</v>
      </c>
      <c r="CF55" s="646">
        <v>1000</v>
      </c>
      <c r="CG55" s="646">
        <v>84000</v>
      </c>
      <c r="CH55" s="646">
        <v>57500</v>
      </c>
    </row>
    <row r="56" spans="3:86"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7"/>
      <c r="CC56" s="644">
        <v>222</v>
      </c>
      <c r="CD56" s="644" t="s">
        <v>366</v>
      </c>
      <c r="CE56" s="645">
        <v>37535.36</v>
      </c>
      <c r="CF56" s="646">
        <v>15630</v>
      </c>
      <c r="CG56" s="646">
        <v>10640</v>
      </c>
      <c r="CH56" s="646">
        <v>26270</v>
      </c>
    </row>
    <row r="57" spans="3:86" ht="20.25" customHeight="1">
      <c r="C57" s="485"/>
      <c r="D57" s="810"/>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2"/>
      <c r="CC57" s="644">
        <v>226</v>
      </c>
      <c r="CD57" s="644" t="s">
        <v>367</v>
      </c>
      <c r="CE57" s="645">
        <v>60475.8</v>
      </c>
      <c r="CF57" s="646">
        <v>26000</v>
      </c>
      <c r="CG57" s="646">
        <v>0</v>
      </c>
      <c r="CH57" s="646">
        <v>26000</v>
      </c>
    </row>
    <row r="58" spans="3:86" ht="16.5" customHeight="1">
      <c r="C58" s="808"/>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281"/>
      <c r="AQ58" s="281"/>
      <c r="AR58" s="281"/>
      <c r="AS58" s="281"/>
      <c r="CC58" s="644">
        <v>232</v>
      </c>
      <c r="CD58" s="644" t="s">
        <v>368</v>
      </c>
      <c r="CE58" s="645">
        <v>46758.073728</v>
      </c>
      <c r="CF58" s="646">
        <v>2800</v>
      </c>
      <c r="CG58" s="646">
        <v>700</v>
      </c>
      <c r="CH58" s="646">
        <v>7315</v>
      </c>
    </row>
    <row r="59" spans="3:86" ht="12.75">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5" style="192" hidden="1" customWidth="1"/>
    <col min="2" max="2" width="8.6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710</v>
      </c>
      <c r="C3" s="299" t="s">
        <v>296</v>
      </c>
      <c r="D3" s="522" t="s">
        <v>456</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2" t="s">
        <v>86</v>
      </c>
      <c r="D5" s="872"/>
      <c r="E5" s="873"/>
      <c r="F5" s="873"/>
      <c r="G5" s="873"/>
      <c r="H5" s="874"/>
      <c r="I5" s="874"/>
      <c r="J5" s="874"/>
      <c r="K5" s="874"/>
      <c r="L5" s="874"/>
      <c r="M5" s="874"/>
      <c r="N5" s="874"/>
      <c r="O5" s="874"/>
      <c r="P5" s="874"/>
      <c r="Q5" s="874"/>
      <c r="R5" s="874"/>
      <c r="S5" s="874"/>
      <c r="T5" s="874"/>
      <c r="U5" s="874"/>
      <c r="V5" s="874"/>
      <c r="W5" s="873"/>
      <c r="X5" s="874"/>
      <c r="Y5" s="873"/>
      <c r="Z5" s="874"/>
      <c r="AA5" s="873"/>
      <c r="AB5" s="874"/>
      <c r="AC5" s="873"/>
      <c r="AD5" s="874"/>
      <c r="AE5" s="873"/>
      <c r="AF5" s="874"/>
      <c r="AG5" s="873"/>
      <c r="AH5" s="874"/>
      <c r="AI5" s="874"/>
      <c r="AJ5" s="874"/>
      <c r="AK5" s="873"/>
      <c r="AL5" s="874"/>
      <c r="AM5" s="873"/>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v>8954</v>
      </c>
      <c r="G8" s="528" t="s">
        <v>646</v>
      </c>
      <c r="H8" s="515">
        <v>9471</v>
      </c>
      <c r="I8" s="528" t="s">
        <v>646</v>
      </c>
      <c r="J8" s="515">
        <v>14062</v>
      </c>
      <c r="K8" s="528" t="s">
        <v>646</v>
      </c>
      <c r="L8" s="515">
        <v>14954</v>
      </c>
      <c r="M8" s="528" t="s">
        <v>646</v>
      </c>
      <c r="N8" s="515"/>
      <c r="O8" s="515"/>
      <c r="P8" s="515">
        <v>14975</v>
      </c>
      <c r="Q8" s="523" t="s">
        <v>646</v>
      </c>
      <c r="R8" s="515">
        <v>15280</v>
      </c>
      <c r="S8" s="523" t="s">
        <v>646</v>
      </c>
      <c r="T8" s="515">
        <v>15282</v>
      </c>
      <c r="U8" s="523" t="s">
        <v>646</v>
      </c>
      <c r="V8" s="515">
        <v>15364</v>
      </c>
      <c r="W8" s="523" t="s">
        <v>646</v>
      </c>
      <c r="X8" s="515">
        <v>15433</v>
      </c>
      <c r="Y8" s="523" t="s">
        <v>646</v>
      </c>
      <c r="Z8" s="515">
        <v>15482</v>
      </c>
      <c r="AA8" s="523" t="s">
        <v>646</v>
      </c>
      <c r="AB8" s="515">
        <v>15733</v>
      </c>
      <c r="AC8" s="523" t="s">
        <v>646</v>
      </c>
      <c r="AD8" s="515">
        <v>15874</v>
      </c>
      <c r="AE8" s="523" t="s">
        <v>646</v>
      </c>
      <c r="AF8" s="515">
        <v>15939</v>
      </c>
      <c r="AG8" s="523" t="s">
        <v>646</v>
      </c>
      <c r="AH8" s="515">
        <v>16046</v>
      </c>
      <c r="AI8" s="523" t="s">
        <v>646</v>
      </c>
      <c r="AJ8" s="515">
        <v>16101</v>
      </c>
      <c r="AK8" s="523" t="s">
        <v>646</v>
      </c>
      <c r="AL8" s="515">
        <v>16434</v>
      </c>
      <c r="AM8" s="523" t="s">
        <v>646</v>
      </c>
      <c r="AN8" s="515">
        <v>16602</v>
      </c>
      <c r="AO8" s="523" t="s">
        <v>646</v>
      </c>
      <c r="AP8" s="515">
        <v>16756</v>
      </c>
      <c r="AQ8" s="523" t="s">
        <v>646</v>
      </c>
      <c r="AR8" s="515">
        <v>16931</v>
      </c>
      <c r="AS8" s="523" t="s">
        <v>646</v>
      </c>
      <c r="AT8" s="515">
        <v>17446</v>
      </c>
      <c r="AU8" s="523" t="s">
        <v>646</v>
      </c>
      <c r="AV8" s="515">
        <v>17594</v>
      </c>
      <c r="AW8" s="528" t="s">
        <v>646</v>
      </c>
      <c r="AX8" s="581"/>
      <c r="AY8" s="330"/>
      <c r="AZ8" s="693">
        <v>1</v>
      </c>
      <c r="BA8" s="694" t="s">
        <v>118</v>
      </c>
      <c r="BB8" s="693" t="s">
        <v>78</v>
      </c>
      <c r="BC8" s="79" t="s">
        <v>82</v>
      </c>
      <c r="BD8" s="543"/>
      <c r="BE8" s="79" t="str">
        <f>IF(OR(ISBLANK(F8),ISBLANK(H8)),"N/A",IF(ABS((H8-F8)/F8)&gt;0.25,"&gt; 25%","ok"))</f>
        <v>ok</v>
      </c>
      <c r="BF8" s="543"/>
      <c r="BG8" s="79" t="str">
        <f>IF(OR(ISBLANK(H8),ISBLANK(J8)),"N/A",IF(ABS((J8-H8)/H8)&gt;0.25,"&gt; 25%","ok"))</f>
        <v>&gt; 25%</v>
      </c>
      <c r="BH8" s="79"/>
      <c r="BI8" s="79" t="str">
        <f aca="true" t="shared" si="0" ref="BI8:BI14">IF(OR(ISBLANK(J8),ISBLANK(L8)),"N/A",IF(ABS((L8-J8)/J8)&gt;0.25,"&gt; 25%","ok"))</f>
        <v>ok</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ok</v>
      </c>
      <c r="BP8" s="79"/>
      <c r="BQ8" s="79" t="str">
        <f aca="true" t="shared" si="4" ref="BQ8:BQ14">IF(OR(ISBLANK(R8),ISBLANK(T8)),"N/A",IF(ABS((T8-R8)/R8)&gt;0.25,"&gt; 25%","ok"))</f>
        <v>ok</v>
      </c>
      <c r="BR8" s="79"/>
      <c r="BS8" s="79" t="str">
        <f aca="true" t="shared" si="5" ref="BS8:BS14">IF(OR(ISBLANK(T8),ISBLANK(V8)),"N/A",IF(ABS((V8-T8)/T8)&gt;0.25,"&gt; 25%","ok"))</f>
        <v>ok</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ok</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ok</v>
      </c>
      <c r="CR8" s="79"/>
      <c r="CS8" s="79" t="str">
        <f>IF(OR(ISBLANK(AT8),ISBLANK(AV8)),"N/A",IF(ABS((AV8-AT8)/AT8)&gt;0.25,"&gt; 25%","ok"))</f>
        <v>ok</v>
      </c>
      <c r="CT8" s="79"/>
    </row>
    <row r="9" spans="1:98" s="329" customFormat="1" ht="15" customHeight="1">
      <c r="A9" s="207"/>
      <c r="B9" s="327">
        <v>25</v>
      </c>
      <c r="C9" s="226">
        <v>2</v>
      </c>
      <c r="D9" s="328" t="s">
        <v>119</v>
      </c>
      <c r="E9" s="226" t="s">
        <v>298</v>
      </c>
      <c r="F9" s="515">
        <v>1757</v>
      </c>
      <c r="G9" s="528" t="s">
        <v>646</v>
      </c>
      <c r="H9" s="515">
        <v>1801</v>
      </c>
      <c r="I9" s="528" t="s">
        <v>646</v>
      </c>
      <c r="J9" s="515">
        <v>2161</v>
      </c>
      <c r="K9" s="528" t="s">
        <v>646</v>
      </c>
      <c r="L9" s="515">
        <v>2194</v>
      </c>
      <c r="M9" s="528" t="s">
        <v>646</v>
      </c>
      <c r="N9" s="515"/>
      <c r="O9" s="515"/>
      <c r="P9" s="515">
        <v>2215</v>
      </c>
      <c r="Q9" s="523" t="s">
        <v>646</v>
      </c>
      <c r="R9" s="515">
        <v>2264</v>
      </c>
      <c r="S9" s="523" t="s">
        <v>646</v>
      </c>
      <c r="T9" s="515">
        <v>2275</v>
      </c>
      <c r="U9" s="523" t="s">
        <v>646</v>
      </c>
      <c r="V9" s="515">
        <v>2265</v>
      </c>
      <c r="W9" s="523" t="s">
        <v>646</v>
      </c>
      <c r="X9" s="515">
        <v>2260</v>
      </c>
      <c r="Y9" s="523" t="s">
        <v>646</v>
      </c>
      <c r="Z9" s="515">
        <v>2273</v>
      </c>
      <c r="AA9" s="523" t="s">
        <v>646</v>
      </c>
      <c r="AB9" s="515">
        <v>2324</v>
      </c>
      <c r="AC9" s="523" t="s">
        <v>646</v>
      </c>
      <c r="AD9" s="515">
        <v>2382</v>
      </c>
      <c r="AE9" s="523" t="s">
        <v>646</v>
      </c>
      <c r="AF9" s="515">
        <v>2400</v>
      </c>
      <c r="AG9" s="523" t="s">
        <v>646</v>
      </c>
      <c r="AH9" s="515">
        <v>2423</v>
      </c>
      <c r="AI9" s="523" t="s">
        <v>646</v>
      </c>
      <c r="AJ9" s="515">
        <v>2453</v>
      </c>
      <c r="AK9" s="523" t="s">
        <v>646</v>
      </c>
      <c r="AL9" s="515">
        <v>2547</v>
      </c>
      <c r="AM9" s="523" t="s">
        <v>646</v>
      </c>
      <c r="AN9" s="515">
        <v>2663</v>
      </c>
      <c r="AO9" s="523" t="s">
        <v>646</v>
      </c>
      <c r="AP9" s="515">
        <v>2784</v>
      </c>
      <c r="AQ9" s="523" t="s">
        <v>646</v>
      </c>
      <c r="AR9" s="515">
        <v>2862</v>
      </c>
      <c r="AS9" s="523" t="s">
        <v>646</v>
      </c>
      <c r="AT9" s="515">
        <v>2898</v>
      </c>
      <c r="AU9" s="523" t="s">
        <v>646</v>
      </c>
      <c r="AV9" s="515">
        <v>3300</v>
      </c>
      <c r="AW9" s="528" t="s">
        <v>646</v>
      </c>
      <c r="AX9" s="581"/>
      <c r="AY9" s="331"/>
      <c r="AZ9" s="695">
        <v>2</v>
      </c>
      <c r="BA9" s="694" t="s">
        <v>119</v>
      </c>
      <c r="BB9" s="695" t="s">
        <v>78</v>
      </c>
      <c r="BC9" s="79" t="s">
        <v>82</v>
      </c>
      <c r="BD9" s="543"/>
      <c r="BE9" s="79" t="str">
        <f>IF(OR(ISBLANK(F9),ISBLANK(H9)),"N/A",IF(ABS((H9-F9)/F9)&gt;0.25,"&gt; 25%","ok"))</f>
        <v>ok</v>
      </c>
      <c r="BF9" s="543"/>
      <c r="BG9" s="79" t="str">
        <f aca="true" t="shared" si="13" ref="BG9:BG40">IF(OR(ISBLANK(H9),ISBLANK(J9)),"N/A",IF(ABS((J9-H9)/H9)&gt;0.25,"&gt; 25%","ok"))</f>
        <v>ok</v>
      </c>
      <c r="BH9" s="79"/>
      <c r="BI9" s="79" t="str">
        <f t="shared" si="0"/>
        <v>ok</v>
      </c>
      <c r="BJ9" s="79"/>
      <c r="BK9" s="79" t="str">
        <f t="shared" si="1"/>
        <v>N/A</v>
      </c>
      <c r="BL9" s="79"/>
      <c r="BM9" s="79" t="str">
        <f t="shared" si="2"/>
        <v>N/A</v>
      </c>
      <c r="BN9" s="79"/>
      <c r="BO9" s="79" t="str">
        <f t="shared" si="3"/>
        <v>ok</v>
      </c>
      <c r="BP9" s="79"/>
      <c r="BQ9" s="79" t="str">
        <f t="shared" si="4"/>
        <v>ok</v>
      </c>
      <c r="BR9" s="79"/>
      <c r="BS9" s="79" t="str">
        <f t="shared" si="5"/>
        <v>ok</v>
      </c>
      <c r="BT9" s="79"/>
      <c r="BU9" s="79" t="str">
        <f t="shared" si="6"/>
        <v>ok</v>
      </c>
      <c r="BV9" s="79"/>
      <c r="BW9" s="79" t="str">
        <f t="shared" si="7"/>
        <v>ok</v>
      </c>
      <c r="BX9" s="79"/>
      <c r="BY9" s="79" t="str">
        <f t="shared" si="8"/>
        <v>ok</v>
      </c>
      <c r="BZ9" s="79"/>
      <c r="CA9" s="79" t="str">
        <f t="shared" si="9"/>
        <v>ok</v>
      </c>
      <c r="CB9" s="79"/>
      <c r="CC9" s="79" t="str">
        <f t="shared" si="10"/>
        <v>ok</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ok</v>
      </c>
      <c r="CT9" s="79"/>
    </row>
    <row r="10" spans="1:98" s="335" customFormat="1" ht="15" customHeight="1">
      <c r="A10" s="332" t="s">
        <v>65</v>
      </c>
      <c r="B10" s="624">
        <v>5001</v>
      </c>
      <c r="C10" s="625">
        <v>3</v>
      </c>
      <c r="D10" s="626" t="s">
        <v>617</v>
      </c>
      <c r="E10" s="218" t="s">
        <v>298</v>
      </c>
      <c r="F10" s="538">
        <v>10711</v>
      </c>
      <c r="G10" s="524" t="s">
        <v>646</v>
      </c>
      <c r="H10" s="538">
        <v>11272</v>
      </c>
      <c r="I10" s="524" t="s">
        <v>646</v>
      </c>
      <c r="J10" s="538">
        <v>16223</v>
      </c>
      <c r="K10" s="524" t="s">
        <v>646</v>
      </c>
      <c r="L10" s="538">
        <v>17148</v>
      </c>
      <c r="M10" s="524" t="s">
        <v>646</v>
      </c>
      <c r="N10" s="539">
        <v>0</v>
      </c>
      <c r="O10" s="633"/>
      <c r="P10" s="539">
        <v>17190</v>
      </c>
      <c r="Q10" s="528" t="s">
        <v>646</v>
      </c>
      <c r="R10" s="539">
        <v>17544</v>
      </c>
      <c r="S10" s="528" t="s">
        <v>646</v>
      </c>
      <c r="T10" s="539">
        <v>17557</v>
      </c>
      <c r="U10" s="528" t="s">
        <v>646</v>
      </c>
      <c r="V10" s="539">
        <v>17629</v>
      </c>
      <c r="W10" s="528" t="s">
        <v>646</v>
      </c>
      <c r="X10" s="539">
        <v>17693</v>
      </c>
      <c r="Y10" s="528" t="s">
        <v>646</v>
      </c>
      <c r="Z10" s="539">
        <v>17755</v>
      </c>
      <c r="AA10" s="528" t="s">
        <v>646</v>
      </c>
      <c r="AB10" s="539">
        <v>18057</v>
      </c>
      <c r="AC10" s="528" t="s">
        <v>646</v>
      </c>
      <c r="AD10" s="539">
        <v>18256</v>
      </c>
      <c r="AE10" s="528" t="s">
        <v>646</v>
      </c>
      <c r="AF10" s="539">
        <v>18339</v>
      </c>
      <c r="AG10" s="528" t="s">
        <v>646</v>
      </c>
      <c r="AH10" s="539">
        <v>18469</v>
      </c>
      <c r="AI10" s="528" t="s">
        <v>646</v>
      </c>
      <c r="AJ10" s="539">
        <v>18554</v>
      </c>
      <c r="AK10" s="528" t="s">
        <v>646</v>
      </c>
      <c r="AL10" s="539">
        <v>18981</v>
      </c>
      <c r="AM10" s="528" t="s">
        <v>646</v>
      </c>
      <c r="AN10" s="539">
        <v>19265</v>
      </c>
      <c r="AO10" s="528" t="s">
        <v>646</v>
      </c>
      <c r="AP10" s="539">
        <v>19540</v>
      </c>
      <c r="AQ10" s="528" t="s">
        <v>646</v>
      </c>
      <c r="AR10" s="539">
        <v>19793</v>
      </c>
      <c r="AS10" s="528" t="s">
        <v>646</v>
      </c>
      <c r="AT10" s="539">
        <v>20344</v>
      </c>
      <c r="AU10" s="528" t="s">
        <v>646</v>
      </c>
      <c r="AV10" s="539">
        <v>20894</v>
      </c>
      <c r="AW10" s="524" t="s">
        <v>646</v>
      </c>
      <c r="AX10" s="582"/>
      <c r="AY10" s="336"/>
      <c r="AZ10" s="696">
        <v>3</v>
      </c>
      <c r="BA10" s="697" t="s">
        <v>120</v>
      </c>
      <c r="BB10" s="695" t="s">
        <v>78</v>
      </c>
      <c r="BC10" s="103" t="s">
        <v>82</v>
      </c>
      <c r="BD10" s="547"/>
      <c r="BE10" s="79" t="str">
        <f>IF(OR(ISBLANK(F10),ISBLANK(H10)),"N/A",IF(ABS((H10-F10)/F10)&gt;0.25,"&gt; 25%","ok"))</f>
        <v>ok</v>
      </c>
      <c r="BF10" s="543"/>
      <c r="BG10" s="79" t="str">
        <f t="shared" si="13"/>
        <v>&gt; 25%</v>
      </c>
      <c r="BH10" s="79"/>
      <c r="BI10" s="79" t="str">
        <f t="shared" si="0"/>
        <v>ok</v>
      </c>
      <c r="BJ10" s="79"/>
      <c r="BK10" s="79" t="str">
        <f t="shared" si="1"/>
        <v>&gt; 25%</v>
      </c>
      <c r="BL10" s="79"/>
      <c r="BM10" s="79" t="e">
        <f t="shared" si="2"/>
        <v>#DIV/0!</v>
      </c>
      <c r="BN10" s="79"/>
      <c r="BO10" s="79" t="str">
        <f t="shared" si="3"/>
        <v>ok</v>
      </c>
      <c r="BP10" s="79"/>
      <c r="BQ10" s="79" t="str">
        <f t="shared" si="4"/>
        <v>ok</v>
      </c>
      <c r="BR10" s="79"/>
      <c r="BS10" s="79" t="str">
        <f t="shared" si="5"/>
        <v>ok</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ok</v>
      </c>
      <c r="CR10" s="79"/>
      <c r="CS10" s="79" t="str">
        <f>IF(OR(ISBLANK(AT10),ISBLANK(AV10)),"N/A",IF(ABS((AV10-AT10)/AT10)&gt;0.25,"&gt; 25%","ok"))</f>
        <v>ok</v>
      </c>
      <c r="CT10" s="79"/>
    </row>
    <row r="11" spans="1:98" s="335" customFormat="1" ht="15" customHeight="1">
      <c r="A11" s="332"/>
      <c r="B11" s="624">
        <v>30</v>
      </c>
      <c r="C11" s="627">
        <v>4</v>
      </c>
      <c r="D11" s="628" t="s">
        <v>598</v>
      </c>
      <c r="E11" s="226" t="s">
        <v>298</v>
      </c>
      <c r="F11" s="513">
        <v>371</v>
      </c>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v>480</v>
      </c>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v>10340</v>
      </c>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v>18501</v>
      </c>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v>1634</v>
      </c>
      <c r="G15" s="528" t="s">
        <v>646</v>
      </c>
      <c r="H15" s="515">
        <v>1651</v>
      </c>
      <c r="I15" s="528" t="s">
        <v>646</v>
      </c>
      <c r="J15" s="515">
        <v>1712</v>
      </c>
      <c r="K15" s="528" t="s">
        <v>646</v>
      </c>
      <c r="L15" s="515">
        <v>1722</v>
      </c>
      <c r="M15" s="528" t="s">
        <v>646</v>
      </c>
      <c r="N15" s="515"/>
      <c r="O15" s="528"/>
      <c r="P15" s="515">
        <v>1772</v>
      </c>
      <c r="Q15" s="528" t="s">
        <v>646</v>
      </c>
      <c r="R15" s="515">
        <v>1948</v>
      </c>
      <c r="S15" s="528" t="s">
        <v>646</v>
      </c>
      <c r="T15" s="515">
        <v>1966</v>
      </c>
      <c r="U15" s="528" t="s">
        <v>646</v>
      </c>
      <c r="V15" s="515">
        <v>2088</v>
      </c>
      <c r="W15" s="528" t="s">
        <v>646</v>
      </c>
      <c r="X15" s="515">
        <v>2150</v>
      </c>
      <c r="Y15" s="528" t="s">
        <v>646</v>
      </c>
      <c r="Z15" s="515">
        <v>2195</v>
      </c>
      <c r="AA15" s="528" t="s">
        <v>646</v>
      </c>
      <c r="AB15" s="515">
        <v>2341</v>
      </c>
      <c r="AC15" s="528" t="s">
        <v>646</v>
      </c>
      <c r="AD15" s="515">
        <v>2382</v>
      </c>
      <c r="AE15" s="528" t="s">
        <v>646</v>
      </c>
      <c r="AF15" s="515">
        <v>2450</v>
      </c>
      <c r="AG15" s="528" t="s">
        <v>646</v>
      </c>
      <c r="AH15" s="515">
        <v>2507</v>
      </c>
      <c r="AI15" s="528" t="s">
        <v>646</v>
      </c>
      <c r="AJ15" s="515">
        <v>2600</v>
      </c>
      <c r="AK15" s="528" t="s">
        <v>646</v>
      </c>
      <c r="AL15" s="515">
        <v>2655</v>
      </c>
      <c r="AM15" s="528" t="s">
        <v>646</v>
      </c>
      <c r="AN15" s="515">
        <v>2772</v>
      </c>
      <c r="AO15" s="528" t="s">
        <v>646</v>
      </c>
      <c r="AP15" s="515">
        <v>3016</v>
      </c>
      <c r="AQ15" s="528" t="s">
        <v>646</v>
      </c>
      <c r="AR15" s="515">
        <v>3156</v>
      </c>
      <c r="AS15" s="528" t="s">
        <v>646</v>
      </c>
      <c r="AT15" s="515">
        <v>3139</v>
      </c>
      <c r="AU15" s="528" t="s">
        <v>646</v>
      </c>
      <c r="AV15" s="515">
        <v>3418</v>
      </c>
      <c r="AW15" s="528" t="s">
        <v>646</v>
      </c>
      <c r="AX15" s="446"/>
      <c r="AY15" s="195"/>
      <c r="AZ15" s="695">
        <v>7</v>
      </c>
      <c r="BA15" s="699" t="s">
        <v>382</v>
      </c>
      <c r="BB15" s="695" t="s">
        <v>78</v>
      </c>
      <c r="BC15" s="79" t="s">
        <v>82</v>
      </c>
      <c r="BD15" s="543"/>
      <c r="BE15" s="79" t="str">
        <f t="shared" si="14"/>
        <v>ok</v>
      </c>
      <c r="BF15" s="543"/>
      <c r="BG15" s="79" t="str">
        <f t="shared" si="13"/>
        <v>ok</v>
      </c>
      <c r="BH15" s="79"/>
      <c r="BI15" s="79" t="str">
        <f aca="true" t="shared" si="21" ref="BI15:BI40">IF(OR(ISBLANK(J15),ISBLANK(L15)),"N/A",IF(ABS((L15-J15)/J15)&gt;0.25,"&gt; 25%","ok"))</f>
        <v>ok</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ok</v>
      </c>
      <c r="BP15" s="79"/>
      <c r="BQ15" s="79" t="str">
        <f aca="true" t="shared" si="25" ref="BQ15:BQ40">IF(OR(ISBLANK(R15),ISBLANK(T15)),"N/A",IF(ABS((T15-R15)/R15)&gt;0.25,"&gt; 25%","ok"))</f>
        <v>ok</v>
      </c>
      <c r="BR15" s="79"/>
      <c r="BS15" s="79" t="str">
        <f aca="true" t="shared" si="26" ref="BS15:BS40">IF(OR(ISBLANK(T15),ISBLANK(V15)),"N/A",IF(ABS((V15-T15)/T15)&gt;0.25,"&gt; 25%","ok"))</f>
        <v>ok</v>
      </c>
      <c r="BT15" s="79"/>
      <c r="BU15" s="79" t="str">
        <f aca="true" t="shared" si="27" ref="BU15:BU40">IF(OR(ISBLANK(V15),ISBLANK(X15)),"N/A",IF(ABS((X15-V15)/V15)&gt;0.25,"&gt; 25%","ok"))</f>
        <v>ok</v>
      </c>
      <c r="BV15" s="79"/>
      <c r="BW15" s="79" t="str">
        <f aca="true" t="shared" si="28" ref="BW15:BW40">IF(OR(ISBLANK(X15),ISBLANK(Z15)),"N/A",IF(ABS((Z15-X15)/X15)&gt;0.25,"&gt; 25%","ok"))</f>
        <v>ok</v>
      </c>
      <c r="BX15" s="79"/>
      <c r="BY15" s="79" t="str">
        <f aca="true" t="shared" si="29" ref="BY15:BY40">IF(OR(ISBLANK(Z15),ISBLANK(AB15)),"N/A",IF(ABS((AB15-Z15)/Z15)&gt;0.25,"&gt; 25%","ok"))</f>
        <v>ok</v>
      </c>
      <c r="BZ15" s="79"/>
      <c r="CA15" s="79" t="str">
        <f aca="true" t="shared" si="30" ref="CA15:CA40">IF(OR(ISBLANK(AB15),ISBLANK(AD15)),"N/A",IF(ABS((AD15-AB15)/AB15)&gt;0.25,"&gt; 25%","ok"))</f>
        <v>ok</v>
      </c>
      <c r="CB15" s="79"/>
      <c r="CC15" s="79" t="str">
        <f aca="true" t="shared" si="31" ref="CC15:CC40">IF(OR(ISBLANK(AD15),ISBLANK(AF15)),"N/A",IF(ABS((AF15-AD15)/AD15)&gt;0.25,"&gt; 25%","ok"))</f>
        <v>ok</v>
      </c>
      <c r="CD15" s="79"/>
      <c r="CE15" s="79" t="str">
        <f aca="true" t="shared" si="32" ref="CE15:CE40">IF(OR(ISBLANK(AF15),ISBLANK(AH15)),"N/A",IF(ABS((AH15-AF15)/AF15)&gt;0.25,"&gt; 25%","ok"))</f>
        <v>ok</v>
      </c>
      <c r="CF15" s="79"/>
      <c r="CG15" s="79" t="str">
        <f aca="true" t="shared" si="33" ref="CG15:CG40">IF(OR(ISBLANK(AH15),ISBLANK(AJ15)),"N/A",IF(ABS((AJ15-AH15)/AH15)&gt;0.25,"&gt; 25%","ok"))</f>
        <v>ok</v>
      </c>
      <c r="CH15" s="79"/>
      <c r="CI15" s="79" t="str">
        <f t="shared" si="15"/>
        <v>ok</v>
      </c>
      <c r="CJ15" s="79"/>
      <c r="CK15" s="79" t="str">
        <f t="shared" si="16"/>
        <v>ok</v>
      </c>
      <c r="CL15" s="79"/>
      <c r="CM15" s="79" t="str">
        <f t="shared" si="17"/>
        <v>ok</v>
      </c>
      <c r="CN15" s="79"/>
      <c r="CO15" s="79" t="str">
        <f t="shared" si="18"/>
        <v>ok</v>
      </c>
      <c r="CP15" s="79"/>
      <c r="CQ15" s="79" t="str">
        <f t="shared" si="19"/>
        <v>ok</v>
      </c>
      <c r="CR15" s="79"/>
      <c r="CS15" s="79" t="str">
        <f t="shared" si="20"/>
        <v>ok</v>
      </c>
      <c r="CT15" s="79"/>
    </row>
    <row r="16" spans="1:98" s="338" customFormat="1" ht="15" customHeight="1">
      <c r="A16" s="192"/>
      <c r="B16" s="611">
        <v>257</v>
      </c>
      <c r="C16" s="627">
        <v>8</v>
      </c>
      <c r="D16" s="339" t="s">
        <v>117</v>
      </c>
      <c r="E16" s="226" t="s">
        <v>298</v>
      </c>
      <c r="F16" s="515">
        <v>7559</v>
      </c>
      <c r="G16" s="528" t="s">
        <v>646</v>
      </c>
      <c r="H16" s="515">
        <v>8022</v>
      </c>
      <c r="I16" s="528" t="s">
        <v>646</v>
      </c>
      <c r="J16" s="515">
        <v>10432</v>
      </c>
      <c r="K16" s="528" t="s">
        <v>646</v>
      </c>
      <c r="L16" s="515">
        <v>11315</v>
      </c>
      <c r="M16" s="528" t="s">
        <v>646</v>
      </c>
      <c r="N16" s="515"/>
      <c r="O16" s="528"/>
      <c r="P16" s="515">
        <v>11395</v>
      </c>
      <c r="Q16" s="528" t="s">
        <v>646</v>
      </c>
      <c r="R16" s="515">
        <v>11371</v>
      </c>
      <c r="S16" s="528" t="s">
        <v>646</v>
      </c>
      <c r="T16" s="515">
        <v>11321</v>
      </c>
      <c r="U16" s="528" t="s">
        <v>646</v>
      </c>
      <c r="V16" s="515">
        <v>11292</v>
      </c>
      <c r="W16" s="528" t="s">
        <v>646</v>
      </c>
      <c r="X16" s="515">
        <v>11271</v>
      </c>
      <c r="Y16" s="528" t="s">
        <v>646</v>
      </c>
      <c r="Z16" s="515">
        <v>11254</v>
      </c>
      <c r="AA16" s="528" t="s">
        <v>646</v>
      </c>
      <c r="AB16" s="515">
        <v>11299</v>
      </c>
      <c r="AC16" s="528" t="s">
        <v>646</v>
      </c>
      <c r="AD16" s="515">
        <v>11355</v>
      </c>
      <c r="AE16" s="528" t="s">
        <v>646</v>
      </c>
      <c r="AF16" s="515">
        <v>11350</v>
      </c>
      <c r="AG16" s="528" t="s">
        <v>646</v>
      </c>
      <c r="AH16" s="515">
        <v>11352</v>
      </c>
      <c r="AI16" s="528" t="s">
        <v>646</v>
      </c>
      <c r="AJ16" s="515">
        <v>11271</v>
      </c>
      <c r="AK16" s="528" t="s">
        <v>646</v>
      </c>
      <c r="AL16" s="515">
        <v>11303</v>
      </c>
      <c r="AM16" s="528" t="s">
        <v>646</v>
      </c>
      <c r="AN16" s="515">
        <v>11352</v>
      </c>
      <c r="AO16" s="528" t="s">
        <v>646</v>
      </c>
      <c r="AP16" s="515">
        <v>11357</v>
      </c>
      <c r="AQ16" s="528" t="s">
        <v>646</v>
      </c>
      <c r="AR16" s="515">
        <v>11496</v>
      </c>
      <c r="AS16" s="528" t="s">
        <v>646</v>
      </c>
      <c r="AT16" s="515">
        <v>11998</v>
      </c>
      <c r="AU16" s="528" t="s">
        <v>646</v>
      </c>
      <c r="AV16" s="515">
        <v>12022</v>
      </c>
      <c r="AW16" s="528" t="s">
        <v>646</v>
      </c>
      <c r="AX16" s="446"/>
      <c r="AY16" s="195"/>
      <c r="AZ16" s="695">
        <v>8</v>
      </c>
      <c r="BA16" s="699" t="s">
        <v>117</v>
      </c>
      <c r="BB16" s="695" t="s">
        <v>78</v>
      </c>
      <c r="BC16" s="79" t="s">
        <v>82</v>
      </c>
      <c r="BD16" s="543"/>
      <c r="BE16" s="79" t="str">
        <f t="shared" si="14"/>
        <v>ok</v>
      </c>
      <c r="BF16" s="543"/>
      <c r="BG16" s="79" t="str">
        <f t="shared" si="13"/>
        <v>&gt; 25%</v>
      </c>
      <c r="BH16" s="79"/>
      <c r="BI16" s="79" t="str">
        <f t="shared" si="21"/>
        <v>ok</v>
      </c>
      <c r="BJ16" s="79"/>
      <c r="BK16" s="79" t="str">
        <f t="shared" si="22"/>
        <v>N/A</v>
      </c>
      <c r="BL16" s="79"/>
      <c r="BM16" s="79" t="str">
        <f t="shared" si="23"/>
        <v>N/A</v>
      </c>
      <c r="BN16" s="79"/>
      <c r="BO16" s="79" t="str">
        <f t="shared" si="24"/>
        <v>ok</v>
      </c>
      <c r="BP16" s="79"/>
      <c r="BQ16" s="79" t="str">
        <f t="shared" si="25"/>
        <v>ok</v>
      </c>
      <c r="BR16" s="79"/>
      <c r="BS16" s="79" t="str">
        <f t="shared" si="26"/>
        <v>ok</v>
      </c>
      <c r="BT16" s="79"/>
      <c r="BU16" s="79" t="str">
        <f t="shared" si="27"/>
        <v>ok</v>
      </c>
      <c r="BV16" s="79"/>
      <c r="BW16" s="79" t="str">
        <f t="shared" si="28"/>
        <v>ok</v>
      </c>
      <c r="BX16" s="79"/>
      <c r="BY16" s="79" t="str">
        <f t="shared" si="29"/>
        <v>ok</v>
      </c>
      <c r="BZ16" s="79"/>
      <c r="CA16" s="79" t="str">
        <f t="shared" si="30"/>
        <v>ok</v>
      </c>
      <c r="CB16" s="79"/>
      <c r="CC16" s="79" t="str">
        <f t="shared" si="31"/>
        <v>ok</v>
      </c>
      <c r="CD16" s="79"/>
      <c r="CE16" s="79" t="str">
        <f t="shared" si="32"/>
        <v>ok</v>
      </c>
      <c r="CF16" s="79"/>
      <c r="CG16" s="79" t="str">
        <f t="shared" si="33"/>
        <v>ok</v>
      </c>
      <c r="CH16" s="79"/>
      <c r="CI16" s="79" t="str">
        <f t="shared" si="15"/>
        <v>ok</v>
      </c>
      <c r="CJ16" s="79"/>
      <c r="CK16" s="79" t="str">
        <f t="shared" si="16"/>
        <v>ok</v>
      </c>
      <c r="CL16" s="79"/>
      <c r="CM16" s="79" t="str">
        <f t="shared" si="17"/>
        <v>ok</v>
      </c>
      <c r="CN16" s="79"/>
      <c r="CO16" s="79" t="str">
        <f t="shared" si="18"/>
        <v>ok</v>
      </c>
      <c r="CP16" s="79"/>
      <c r="CQ16" s="79" t="str">
        <f t="shared" si="19"/>
        <v>ok</v>
      </c>
      <c r="CR16" s="79"/>
      <c r="CS16" s="79" t="str">
        <f t="shared" si="20"/>
        <v>ok</v>
      </c>
      <c r="CT16" s="79"/>
    </row>
    <row r="17" spans="1:98" s="338" customFormat="1" ht="15" customHeight="1">
      <c r="A17" s="192"/>
      <c r="B17" s="611">
        <v>263</v>
      </c>
      <c r="C17" s="627">
        <v>9</v>
      </c>
      <c r="D17" s="575" t="s">
        <v>587</v>
      </c>
      <c r="E17" s="226" t="s">
        <v>298</v>
      </c>
      <c r="F17" s="515">
        <v>7479</v>
      </c>
      <c r="G17" s="528" t="s">
        <v>646</v>
      </c>
      <c r="H17" s="515">
        <v>7980</v>
      </c>
      <c r="I17" s="528" t="s">
        <v>646</v>
      </c>
      <c r="J17" s="515">
        <v>10340</v>
      </c>
      <c r="K17" s="528" t="s">
        <v>646</v>
      </c>
      <c r="L17" s="515">
        <v>11222</v>
      </c>
      <c r="M17" s="528" t="s">
        <v>646</v>
      </c>
      <c r="N17" s="515"/>
      <c r="O17" s="528"/>
      <c r="P17" s="515">
        <v>11301</v>
      </c>
      <c r="Q17" s="528" t="s">
        <v>646</v>
      </c>
      <c r="R17" s="515">
        <v>11245</v>
      </c>
      <c r="S17" s="528" t="s">
        <v>646</v>
      </c>
      <c r="T17" s="515">
        <v>11227</v>
      </c>
      <c r="U17" s="528" t="s">
        <v>646</v>
      </c>
      <c r="V17" s="515">
        <v>11199</v>
      </c>
      <c r="W17" s="528" t="s">
        <v>646</v>
      </c>
      <c r="X17" s="515">
        <v>11179</v>
      </c>
      <c r="Y17" s="528" t="s">
        <v>646</v>
      </c>
      <c r="Z17" s="515">
        <v>11163</v>
      </c>
      <c r="AA17" s="528" t="s">
        <v>646</v>
      </c>
      <c r="AB17" s="515">
        <v>11205</v>
      </c>
      <c r="AC17" s="528" t="s">
        <v>646</v>
      </c>
      <c r="AD17" s="515">
        <v>11260</v>
      </c>
      <c r="AE17" s="528" t="s">
        <v>646</v>
      </c>
      <c r="AF17" s="515">
        <v>11255</v>
      </c>
      <c r="AG17" s="528" t="s">
        <v>646</v>
      </c>
      <c r="AH17" s="515">
        <v>11256</v>
      </c>
      <c r="AI17" s="528" t="s">
        <v>646</v>
      </c>
      <c r="AJ17" s="515">
        <v>11175</v>
      </c>
      <c r="AK17" s="528" t="s">
        <v>646</v>
      </c>
      <c r="AL17" s="515">
        <v>11207</v>
      </c>
      <c r="AM17" s="528" t="s">
        <v>646</v>
      </c>
      <c r="AN17" s="515">
        <v>11255</v>
      </c>
      <c r="AO17" s="528" t="s">
        <v>646</v>
      </c>
      <c r="AP17" s="515">
        <v>11257</v>
      </c>
      <c r="AQ17" s="528" t="s">
        <v>646</v>
      </c>
      <c r="AR17" s="515">
        <v>11397</v>
      </c>
      <c r="AS17" s="528" t="s">
        <v>646</v>
      </c>
      <c r="AT17" s="515">
        <v>11899</v>
      </c>
      <c r="AU17" s="528" t="s">
        <v>646</v>
      </c>
      <c r="AV17" s="515">
        <v>11922</v>
      </c>
      <c r="AW17" s="528" t="s">
        <v>646</v>
      </c>
      <c r="AX17" s="446"/>
      <c r="AY17" s="195"/>
      <c r="AZ17" s="695">
        <v>9</v>
      </c>
      <c r="BA17" s="700" t="s">
        <v>564</v>
      </c>
      <c r="BB17" s="695" t="s">
        <v>78</v>
      </c>
      <c r="BC17" s="79"/>
      <c r="BD17" s="543"/>
      <c r="BE17" s="79" t="str">
        <f t="shared" si="14"/>
        <v>ok</v>
      </c>
      <c r="BF17" s="543"/>
      <c r="BG17" s="79" t="str">
        <f t="shared" si="13"/>
        <v>&gt; 25%</v>
      </c>
      <c r="BH17" s="79"/>
      <c r="BI17" s="79" t="str">
        <f t="shared" si="21"/>
        <v>ok</v>
      </c>
      <c r="BJ17" s="79"/>
      <c r="BK17" s="79" t="str">
        <f t="shared" si="22"/>
        <v>N/A</v>
      </c>
      <c r="BL17" s="79"/>
      <c r="BM17" s="79" t="str">
        <f t="shared" si="23"/>
        <v>N/A</v>
      </c>
      <c r="BN17" s="79"/>
      <c r="BO17" s="79" t="str">
        <f t="shared" si="24"/>
        <v>ok</v>
      </c>
      <c r="BP17" s="79"/>
      <c r="BQ17" s="79" t="str">
        <f t="shared" si="25"/>
        <v>ok</v>
      </c>
      <c r="BR17" s="79"/>
      <c r="BS17" s="79" t="str">
        <f t="shared" si="26"/>
        <v>ok</v>
      </c>
      <c r="BT17" s="79"/>
      <c r="BU17" s="79" t="str">
        <f t="shared" si="27"/>
        <v>ok</v>
      </c>
      <c r="BV17" s="79"/>
      <c r="BW17" s="79" t="str">
        <f t="shared" si="28"/>
        <v>ok</v>
      </c>
      <c r="BX17" s="79"/>
      <c r="BY17" s="79" t="str">
        <f t="shared" si="29"/>
        <v>ok</v>
      </c>
      <c r="BZ17" s="79"/>
      <c r="CA17" s="79" t="str">
        <f t="shared" si="30"/>
        <v>ok</v>
      </c>
      <c r="CB17" s="79"/>
      <c r="CC17" s="79" t="str">
        <f t="shared" si="31"/>
        <v>ok</v>
      </c>
      <c r="CD17" s="79"/>
      <c r="CE17" s="79" t="str">
        <f t="shared" si="32"/>
        <v>ok</v>
      </c>
      <c r="CF17" s="79"/>
      <c r="CG17" s="79" t="str">
        <f t="shared" si="33"/>
        <v>ok</v>
      </c>
      <c r="CH17" s="79"/>
      <c r="CI17" s="79" t="str">
        <f t="shared" si="15"/>
        <v>ok</v>
      </c>
      <c r="CJ17" s="79"/>
      <c r="CK17" s="79" t="str">
        <f t="shared" si="16"/>
        <v>ok</v>
      </c>
      <c r="CL17" s="79"/>
      <c r="CM17" s="79" t="str">
        <f t="shared" si="17"/>
        <v>ok</v>
      </c>
      <c r="CN17" s="79"/>
      <c r="CO17" s="79" t="str">
        <f t="shared" si="18"/>
        <v>ok</v>
      </c>
      <c r="CP17" s="79"/>
      <c r="CQ17" s="79" t="str">
        <f t="shared" si="19"/>
        <v>ok</v>
      </c>
      <c r="CR17" s="79"/>
      <c r="CS17" s="79" t="str">
        <f t="shared" si="20"/>
        <v>ok</v>
      </c>
      <c r="CT17" s="79"/>
    </row>
    <row r="18" spans="1:98" s="338" customFormat="1" ht="15" customHeight="1">
      <c r="A18" s="192"/>
      <c r="B18" s="611">
        <v>264</v>
      </c>
      <c r="C18" s="627">
        <v>10</v>
      </c>
      <c r="D18" s="339" t="s">
        <v>518</v>
      </c>
      <c r="E18" s="226" t="s">
        <v>298</v>
      </c>
      <c r="F18" s="515">
        <v>170</v>
      </c>
      <c r="G18" s="528" t="s">
        <v>646</v>
      </c>
      <c r="H18" s="515">
        <v>179</v>
      </c>
      <c r="I18" s="528" t="s">
        <v>646</v>
      </c>
      <c r="J18" s="515">
        <v>260</v>
      </c>
      <c r="K18" s="528" t="s">
        <v>646</v>
      </c>
      <c r="L18" s="515">
        <v>267</v>
      </c>
      <c r="M18" s="528" t="s">
        <v>646</v>
      </c>
      <c r="N18" s="515"/>
      <c r="O18" s="528"/>
      <c r="P18" s="515">
        <v>299</v>
      </c>
      <c r="Q18" s="528" t="s">
        <v>646</v>
      </c>
      <c r="R18" s="515">
        <v>311</v>
      </c>
      <c r="S18" s="528" t="s">
        <v>646</v>
      </c>
      <c r="T18" s="515">
        <v>295</v>
      </c>
      <c r="U18" s="528" t="s">
        <v>646</v>
      </c>
      <c r="V18" s="515">
        <v>271</v>
      </c>
      <c r="W18" s="528" t="s">
        <v>646</v>
      </c>
      <c r="X18" s="515">
        <v>274</v>
      </c>
      <c r="Y18" s="528" t="s">
        <v>646</v>
      </c>
      <c r="Z18" s="515">
        <v>293</v>
      </c>
      <c r="AA18" s="524" t="s">
        <v>646</v>
      </c>
      <c r="AB18" s="515">
        <v>396</v>
      </c>
      <c r="AC18" s="528" t="s">
        <v>646</v>
      </c>
      <c r="AD18" s="515">
        <v>487</v>
      </c>
      <c r="AE18" s="528" t="s">
        <v>646</v>
      </c>
      <c r="AF18" s="515">
        <v>526</v>
      </c>
      <c r="AG18" s="528" t="s">
        <v>646</v>
      </c>
      <c r="AH18" s="515">
        <v>570</v>
      </c>
      <c r="AI18" s="528" t="s">
        <v>646</v>
      </c>
      <c r="AJ18" s="515">
        <v>641</v>
      </c>
      <c r="AK18" s="528" t="s">
        <v>646</v>
      </c>
      <c r="AL18" s="515">
        <v>740</v>
      </c>
      <c r="AM18" s="528" t="s">
        <v>646</v>
      </c>
      <c r="AN18" s="515">
        <v>842</v>
      </c>
      <c r="AO18" s="528" t="s">
        <v>646</v>
      </c>
      <c r="AP18" s="515">
        <v>900</v>
      </c>
      <c r="AQ18" s="528" t="s">
        <v>646</v>
      </c>
      <c r="AR18" s="515">
        <v>960</v>
      </c>
      <c r="AS18" s="528" t="s">
        <v>646</v>
      </c>
      <c r="AT18" s="515">
        <v>952</v>
      </c>
      <c r="AU18" s="528" t="s">
        <v>646</v>
      </c>
      <c r="AV18" s="515">
        <v>996</v>
      </c>
      <c r="AW18" s="528" t="s">
        <v>646</v>
      </c>
      <c r="AX18" s="446"/>
      <c r="AY18" s="195"/>
      <c r="AZ18" s="695">
        <v>10</v>
      </c>
      <c r="BA18" s="699" t="s">
        <v>518</v>
      </c>
      <c r="BB18" s="695" t="s">
        <v>78</v>
      </c>
      <c r="BC18" s="79"/>
      <c r="BD18" s="543"/>
      <c r="BE18" s="79" t="str">
        <f t="shared" si="14"/>
        <v>ok</v>
      </c>
      <c r="BF18" s="543"/>
      <c r="BG18" s="79" t="str">
        <f t="shared" si="13"/>
        <v>&gt; 25%</v>
      </c>
      <c r="BH18" s="79"/>
      <c r="BI18" s="79" t="str">
        <f t="shared" si="21"/>
        <v>ok</v>
      </c>
      <c r="BJ18" s="79"/>
      <c r="BK18" s="79" t="str">
        <f t="shared" si="22"/>
        <v>N/A</v>
      </c>
      <c r="BL18" s="79"/>
      <c r="BM18" s="79" t="str">
        <f t="shared" si="23"/>
        <v>N/A</v>
      </c>
      <c r="BN18" s="79"/>
      <c r="BO18" s="79" t="str">
        <f t="shared" si="24"/>
        <v>ok</v>
      </c>
      <c r="BP18" s="79"/>
      <c r="BQ18" s="79" t="str">
        <f t="shared" si="25"/>
        <v>ok</v>
      </c>
      <c r="BR18" s="79"/>
      <c r="BS18" s="79" t="str">
        <f t="shared" si="26"/>
        <v>ok</v>
      </c>
      <c r="BT18" s="79"/>
      <c r="BU18" s="79" t="str">
        <f t="shared" si="27"/>
        <v>ok</v>
      </c>
      <c r="BV18" s="79"/>
      <c r="BW18" s="79" t="str">
        <f t="shared" si="28"/>
        <v>ok</v>
      </c>
      <c r="BX18" s="79"/>
      <c r="BY18" s="79" t="str">
        <f t="shared" si="29"/>
        <v>&gt; 25%</v>
      </c>
      <c r="BZ18" s="79"/>
      <c r="CA18" s="79" t="str">
        <f t="shared" si="30"/>
        <v>ok</v>
      </c>
      <c r="CB18" s="79"/>
      <c r="CC18" s="79" t="str">
        <f t="shared" si="31"/>
        <v>ok</v>
      </c>
      <c r="CD18" s="79"/>
      <c r="CE18" s="79" t="str">
        <f t="shared" si="32"/>
        <v>ok</v>
      </c>
      <c r="CF18" s="79"/>
      <c r="CG18" s="79" t="str">
        <f t="shared" si="33"/>
        <v>ok</v>
      </c>
      <c r="CH18" s="79"/>
      <c r="CI18" s="79" t="str">
        <f t="shared" si="15"/>
        <v>ok</v>
      </c>
      <c r="CJ18" s="79"/>
      <c r="CK18" s="79" t="str">
        <f t="shared" si="16"/>
        <v>ok</v>
      </c>
      <c r="CL18" s="79"/>
      <c r="CM18" s="79" t="str">
        <f t="shared" si="17"/>
        <v>ok</v>
      </c>
      <c r="CN18" s="79"/>
      <c r="CO18" s="79" t="str">
        <f t="shared" si="18"/>
        <v>ok</v>
      </c>
      <c r="CP18" s="79"/>
      <c r="CQ18" s="79" t="str">
        <f t="shared" si="19"/>
        <v>ok</v>
      </c>
      <c r="CR18" s="79"/>
      <c r="CS18" s="79" t="str">
        <f t="shared" si="20"/>
        <v>ok</v>
      </c>
      <c r="CT18" s="79"/>
    </row>
    <row r="19" spans="1:98" s="338" customFormat="1" ht="15" customHeight="1">
      <c r="A19" s="192"/>
      <c r="B19" s="611">
        <v>258</v>
      </c>
      <c r="C19" s="627">
        <v>11</v>
      </c>
      <c r="D19" s="339" t="s">
        <v>487</v>
      </c>
      <c r="E19" s="226" t="s">
        <v>298</v>
      </c>
      <c r="F19" s="515">
        <v>610</v>
      </c>
      <c r="G19" s="528" t="s">
        <v>646</v>
      </c>
      <c r="H19" s="515">
        <v>623</v>
      </c>
      <c r="I19" s="528" t="s">
        <v>646</v>
      </c>
      <c r="J19" s="515">
        <v>2722</v>
      </c>
      <c r="K19" s="528" t="s">
        <v>646</v>
      </c>
      <c r="L19" s="515">
        <v>2749</v>
      </c>
      <c r="M19" s="528" t="s">
        <v>646</v>
      </c>
      <c r="N19" s="515"/>
      <c r="O19" s="528"/>
      <c r="P19" s="515">
        <v>2630</v>
      </c>
      <c r="Q19" s="528" t="s">
        <v>646</v>
      </c>
      <c r="R19" s="515">
        <v>2813</v>
      </c>
      <c r="S19" s="528" t="s">
        <v>646</v>
      </c>
      <c r="T19" s="515">
        <v>2852</v>
      </c>
      <c r="U19" s="528" t="s">
        <v>646</v>
      </c>
      <c r="V19" s="515">
        <v>2870</v>
      </c>
      <c r="W19" s="528" t="s">
        <v>646</v>
      </c>
      <c r="X19" s="515">
        <v>2898</v>
      </c>
      <c r="Y19" s="528" t="s">
        <v>646</v>
      </c>
      <c r="Z19" s="515">
        <v>2920</v>
      </c>
      <c r="AA19" s="523" t="s">
        <v>646</v>
      </c>
      <c r="AB19" s="515">
        <v>2914</v>
      </c>
      <c r="AC19" s="528" t="s">
        <v>646</v>
      </c>
      <c r="AD19" s="515">
        <v>2926</v>
      </c>
      <c r="AE19" s="528" t="s">
        <v>646</v>
      </c>
      <c r="AF19" s="515">
        <v>2904</v>
      </c>
      <c r="AG19" s="528" t="s">
        <v>646</v>
      </c>
      <c r="AH19" s="515">
        <v>2907</v>
      </c>
      <c r="AI19" s="528" t="s">
        <v>646</v>
      </c>
      <c r="AJ19" s="515">
        <v>2912</v>
      </c>
      <c r="AK19" s="528" t="s">
        <v>646</v>
      </c>
      <c r="AL19" s="515">
        <v>3163</v>
      </c>
      <c r="AM19" s="528" t="s">
        <v>646</v>
      </c>
      <c r="AN19" s="515">
        <v>3177</v>
      </c>
      <c r="AO19" s="528" t="s">
        <v>646</v>
      </c>
      <c r="AP19" s="515">
        <v>3140</v>
      </c>
      <c r="AQ19" s="528" t="s">
        <v>646</v>
      </c>
      <c r="AR19" s="515">
        <v>3106</v>
      </c>
      <c r="AS19" s="528" t="s">
        <v>646</v>
      </c>
      <c r="AT19" s="515">
        <v>3111</v>
      </c>
      <c r="AU19" s="528" t="s">
        <v>646</v>
      </c>
      <c r="AV19" s="515">
        <v>3123</v>
      </c>
      <c r="AW19" s="528" t="s">
        <v>646</v>
      </c>
      <c r="AX19" s="446"/>
      <c r="AY19" s="195"/>
      <c r="AZ19" s="695">
        <v>11</v>
      </c>
      <c r="BA19" s="699" t="s">
        <v>487</v>
      </c>
      <c r="BB19" s="695" t="s">
        <v>78</v>
      </c>
      <c r="BC19" s="79" t="s">
        <v>82</v>
      </c>
      <c r="BD19" s="543"/>
      <c r="BE19" s="79" t="str">
        <f t="shared" si="14"/>
        <v>ok</v>
      </c>
      <c r="BF19" s="543"/>
      <c r="BG19" s="79" t="str">
        <f t="shared" si="13"/>
        <v>&gt; 25%</v>
      </c>
      <c r="BH19" s="79"/>
      <c r="BI19" s="79" t="str">
        <f t="shared" si="21"/>
        <v>ok</v>
      </c>
      <c r="BJ19" s="79"/>
      <c r="BK19" s="79" t="str">
        <f t="shared" si="22"/>
        <v>N/A</v>
      </c>
      <c r="BL19" s="79"/>
      <c r="BM19" s="79" t="str">
        <f t="shared" si="23"/>
        <v>N/A</v>
      </c>
      <c r="BN19" s="79"/>
      <c r="BO19" s="79" t="str">
        <f t="shared" si="24"/>
        <v>ok</v>
      </c>
      <c r="BP19" s="79"/>
      <c r="BQ19" s="79" t="str">
        <f t="shared" si="25"/>
        <v>ok</v>
      </c>
      <c r="BR19" s="79"/>
      <c r="BS19" s="79" t="str">
        <f t="shared" si="26"/>
        <v>ok</v>
      </c>
      <c r="BT19" s="79"/>
      <c r="BU19" s="79" t="str">
        <f t="shared" si="27"/>
        <v>ok</v>
      </c>
      <c r="BV19" s="79"/>
      <c r="BW19" s="79" t="str">
        <f t="shared" si="28"/>
        <v>ok</v>
      </c>
      <c r="BX19" s="79"/>
      <c r="BY19" s="79" t="str">
        <f t="shared" si="29"/>
        <v>ok</v>
      </c>
      <c r="BZ19" s="79"/>
      <c r="CA19" s="79" t="str">
        <f t="shared" si="30"/>
        <v>ok</v>
      </c>
      <c r="CB19" s="79"/>
      <c r="CC19" s="79" t="str">
        <f t="shared" si="31"/>
        <v>ok</v>
      </c>
      <c r="CD19" s="79"/>
      <c r="CE19" s="79" t="str">
        <f t="shared" si="32"/>
        <v>ok</v>
      </c>
      <c r="CF19" s="79"/>
      <c r="CG19" s="79" t="str">
        <f t="shared" si="33"/>
        <v>ok</v>
      </c>
      <c r="CH19" s="79"/>
      <c r="CI19" s="79" t="str">
        <f t="shared" si="15"/>
        <v>ok</v>
      </c>
      <c r="CJ19" s="79"/>
      <c r="CK19" s="79" t="str">
        <f t="shared" si="16"/>
        <v>ok</v>
      </c>
      <c r="CL19" s="79"/>
      <c r="CM19" s="79" t="str">
        <f t="shared" si="17"/>
        <v>ok</v>
      </c>
      <c r="CN19" s="79"/>
      <c r="CO19" s="79" t="str">
        <f t="shared" si="18"/>
        <v>ok</v>
      </c>
      <c r="CP19" s="79"/>
      <c r="CQ19" s="79" t="str">
        <f t="shared" si="19"/>
        <v>ok</v>
      </c>
      <c r="CR19" s="79"/>
      <c r="CS19" s="79" t="str">
        <f t="shared" si="20"/>
        <v>ok</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v>297</v>
      </c>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v>22</v>
      </c>
      <c r="U21" s="528"/>
      <c r="V21" s="515">
        <v>11</v>
      </c>
      <c r="W21" s="528"/>
      <c r="X21" s="515">
        <v>9</v>
      </c>
      <c r="Y21" s="528"/>
      <c r="Z21" s="515">
        <v>9</v>
      </c>
      <c r="AA21" s="528"/>
      <c r="AB21" s="515">
        <v>9</v>
      </c>
      <c r="AC21" s="528"/>
      <c r="AD21" s="515">
        <v>9</v>
      </c>
      <c r="AE21" s="528"/>
      <c r="AF21" s="515">
        <v>11</v>
      </c>
      <c r="AG21" s="528"/>
      <c r="AH21" s="515">
        <v>31</v>
      </c>
      <c r="AI21" s="528"/>
      <c r="AJ21" s="515">
        <v>30</v>
      </c>
      <c r="AK21" s="528"/>
      <c r="AL21" s="515">
        <v>20</v>
      </c>
      <c r="AM21" s="528"/>
      <c r="AN21" s="515">
        <v>20</v>
      </c>
      <c r="AO21" s="528"/>
      <c r="AP21" s="515">
        <v>20</v>
      </c>
      <c r="AQ21" s="528"/>
      <c r="AR21" s="515">
        <v>18</v>
      </c>
      <c r="AS21" s="528"/>
      <c r="AT21" s="515">
        <v>23</v>
      </c>
      <c r="AU21" s="528"/>
      <c r="AV21" s="515">
        <v>45</v>
      </c>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&gt; 25%</v>
      </c>
      <c r="BT21" s="79"/>
      <c r="BU21" s="79" t="str">
        <f t="shared" si="27"/>
        <v>ok</v>
      </c>
      <c r="BV21" s="79"/>
      <c r="BW21" s="79" t="str">
        <f t="shared" si="28"/>
        <v>ok</v>
      </c>
      <c r="BX21" s="79"/>
      <c r="BY21" s="79" t="str">
        <f t="shared" si="29"/>
        <v>ok</v>
      </c>
      <c r="BZ21" s="79"/>
      <c r="CA21" s="79" t="str">
        <f t="shared" si="30"/>
        <v>ok</v>
      </c>
      <c r="CB21" s="79"/>
      <c r="CC21" s="79" t="str">
        <f t="shared" si="31"/>
        <v>ok</v>
      </c>
      <c r="CD21" s="79"/>
      <c r="CE21" s="79" t="str">
        <f t="shared" si="32"/>
        <v>&gt; 25%</v>
      </c>
      <c r="CF21" s="79"/>
      <c r="CG21" s="79" t="str">
        <f t="shared" si="33"/>
        <v>ok</v>
      </c>
      <c r="CH21" s="79"/>
      <c r="CI21" s="79" t="str">
        <f t="shared" si="15"/>
        <v>&gt; 25%</v>
      </c>
      <c r="CJ21" s="79"/>
      <c r="CK21" s="79" t="str">
        <f t="shared" si="16"/>
        <v>ok</v>
      </c>
      <c r="CL21" s="79"/>
      <c r="CM21" s="79" t="str">
        <f t="shared" si="17"/>
        <v>ok</v>
      </c>
      <c r="CN21" s="79"/>
      <c r="CO21" s="79" t="str">
        <f t="shared" si="18"/>
        <v>ok</v>
      </c>
      <c r="CP21" s="79"/>
      <c r="CQ21" s="79" t="str">
        <f t="shared" si="19"/>
        <v>&gt; 25%</v>
      </c>
      <c r="CR21" s="79"/>
      <c r="CS21" s="79" t="str">
        <f t="shared" si="20"/>
        <v>&gt; 25%</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v>658</v>
      </c>
      <c r="G23" s="528" t="s">
        <v>646</v>
      </c>
      <c r="H23" s="515">
        <v>677</v>
      </c>
      <c r="I23" s="528" t="s">
        <v>646</v>
      </c>
      <c r="J23" s="515">
        <v>1011</v>
      </c>
      <c r="K23" s="528" t="s">
        <v>646</v>
      </c>
      <c r="L23" s="515">
        <v>1009</v>
      </c>
      <c r="M23" s="528" t="s">
        <v>646</v>
      </c>
      <c r="N23" s="515">
        <v>1009</v>
      </c>
      <c r="O23" s="528" t="s">
        <v>646</v>
      </c>
      <c r="P23" s="515">
        <v>1007</v>
      </c>
      <c r="Q23" s="528" t="s">
        <v>646</v>
      </c>
      <c r="R23" s="515">
        <v>1013</v>
      </c>
      <c r="S23" s="528" t="s">
        <v>646</v>
      </c>
      <c r="T23" s="515">
        <v>1012</v>
      </c>
      <c r="U23" s="528" t="s">
        <v>646</v>
      </c>
      <c r="V23" s="515">
        <v>1008</v>
      </c>
      <c r="W23" s="528" t="s">
        <v>646</v>
      </c>
      <c r="X23" s="515">
        <v>1003</v>
      </c>
      <c r="Y23" s="528" t="s">
        <v>646</v>
      </c>
      <c r="Z23" s="515">
        <v>998</v>
      </c>
      <c r="AA23" s="528" t="s">
        <v>646</v>
      </c>
      <c r="AB23" s="515">
        <v>1011</v>
      </c>
      <c r="AC23" s="528" t="s">
        <v>646</v>
      </c>
      <c r="AD23" s="515">
        <v>1010</v>
      </c>
      <c r="AE23" s="528" t="s">
        <v>646</v>
      </c>
      <c r="AF23" s="515">
        <v>1010</v>
      </c>
      <c r="AG23" s="528" t="s">
        <v>646</v>
      </c>
      <c r="AH23" s="515">
        <v>1012</v>
      </c>
      <c r="AI23" s="528" t="s">
        <v>646</v>
      </c>
      <c r="AJ23" s="515">
        <v>1012</v>
      </c>
      <c r="AK23" s="528" t="s">
        <v>646</v>
      </c>
      <c r="AL23" s="515">
        <v>1011</v>
      </c>
      <c r="AM23" s="528" t="s">
        <v>646</v>
      </c>
      <c r="AN23" s="515">
        <v>1013</v>
      </c>
      <c r="AO23" s="528" t="s">
        <v>646</v>
      </c>
      <c r="AP23" s="515">
        <v>1017</v>
      </c>
      <c r="AQ23" s="528" t="s">
        <v>646</v>
      </c>
      <c r="AR23" s="515">
        <v>1016</v>
      </c>
      <c r="AS23" s="528" t="s">
        <v>646</v>
      </c>
      <c r="AT23" s="515">
        <v>1014</v>
      </c>
      <c r="AU23" s="528" t="s">
        <v>646</v>
      </c>
      <c r="AV23" s="515">
        <v>1014</v>
      </c>
      <c r="AW23" s="528" t="s">
        <v>646</v>
      </c>
      <c r="AX23" s="446"/>
      <c r="AY23" s="195"/>
      <c r="AZ23" s="695">
        <v>15</v>
      </c>
      <c r="BA23" s="699" t="s">
        <v>317</v>
      </c>
      <c r="BB23" s="695" t="s">
        <v>78</v>
      </c>
      <c r="BC23" s="103" t="s">
        <v>82</v>
      </c>
      <c r="BD23" s="543"/>
      <c r="BE23" s="79" t="str">
        <f t="shared" si="14"/>
        <v>ok</v>
      </c>
      <c r="BF23" s="543"/>
      <c r="BG23" s="79" t="str">
        <f t="shared" si="13"/>
        <v>&gt; 25%</v>
      </c>
      <c r="BH23" s="79"/>
      <c r="BI23" s="79" t="str">
        <f t="shared" si="21"/>
        <v>ok</v>
      </c>
      <c r="BJ23" s="79"/>
      <c r="BK23" s="79" t="str">
        <f t="shared" si="22"/>
        <v>ok</v>
      </c>
      <c r="BL23" s="79"/>
      <c r="BM23" s="79" t="str">
        <f t="shared" si="23"/>
        <v>ok</v>
      </c>
      <c r="BN23" s="79"/>
      <c r="BO23" s="79" t="str">
        <f t="shared" si="24"/>
        <v>ok</v>
      </c>
      <c r="BP23" s="79"/>
      <c r="BQ23" s="79" t="str">
        <f t="shared" si="25"/>
        <v>ok</v>
      </c>
      <c r="BR23" s="79"/>
      <c r="BS23" s="79" t="str">
        <f t="shared" si="26"/>
        <v>ok</v>
      </c>
      <c r="BT23" s="79"/>
      <c r="BU23" s="79" t="str">
        <f t="shared" si="27"/>
        <v>ok</v>
      </c>
      <c r="BV23" s="79"/>
      <c r="BW23" s="79" t="str">
        <f t="shared" si="28"/>
        <v>ok</v>
      </c>
      <c r="BX23" s="79"/>
      <c r="BY23" s="79" t="str">
        <f t="shared" si="29"/>
        <v>ok</v>
      </c>
      <c r="BZ23" s="79"/>
      <c r="CA23" s="79" t="str">
        <f t="shared" si="30"/>
        <v>ok</v>
      </c>
      <c r="CB23" s="79"/>
      <c r="CC23" s="79" t="str">
        <f t="shared" si="31"/>
        <v>ok</v>
      </c>
      <c r="CD23" s="79"/>
      <c r="CE23" s="79" t="str">
        <f t="shared" si="32"/>
        <v>ok</v>
      </c>
      <c r="CF23" s="79"/>
      <c r="CG23" s="79" t="str">
        <f t="shared" si="33"/>
        <v>ok</v>
      </c>
      <c r="CH23" s="79"/>
      <c r="CI23" s="79" t="str">
        <f t="shared" si="15"/>
        <v>ok</v>
      </c>
      <c r="CJ23" s="79"/>
      <c r="CK23" s="79" t="str">
        <f t="shared" si="16"/>
        <v>ok</v>
      </c>
      <c r="CL23" s="79"/>
      <c r="CM23" s="79" t="str">
        <f t="shared" si="17"/>
        <v>ok</v>
      </c>
      <c r="CN23" s="79"/>
      <c r="CO23" s="79" t="str">
        <f t="shared" si="18"/>
        <v>ok</v>
      </c>
      <c r="CP23" s="79"/>
      <c r="CQ23" s="79" t="str">
        <f t="shared" si="19"/>
        <v>ok</v>
      </c>
      <c r="CR23" s="79"/>
      <c r="CS23" s="79" t="str">
        <f t="shared" si="20"/>
        <v>ok</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v>0.23725</v>
      </c>
      <c r="Q24" s="528"/>
      <c r="R24" s="515">
        <v>0.23725</v>
      </c>
      <c r="S24" s="528"/>
      <c r="T24" s="515">
        <v>11.18725</v>
      </c>
      <c r="U24" s="528"/>
      <c r="V24" s="515">
        <v>11.18725</v>
      </c>
      <c r="W24" s="528"/>
      <c r="X24" s="515">
        <v>11.91725</v>
      </c>
      <c r="Y24" s="528"/>
      <c r="Z24" s="515">
        <v>19.6005</v>
      </c>
      <c r="AA24" s="528"/>
      <c r="AB24" s="515">
        <v>25.6595</v>
      </c>
      <c r="AC24" s="528"/>
      <c r="AD24" s="515">
        <v>26.5355</v>
      </c>
      <c r="AE24" s="528"/>
      <c r="AF24" s="515">
        <v>33.8355</v>
      </c>
      <c r="AG24" s="528"/>
      <c r="AH24" s="515">
        <v>34.456</v>
      </c>
      <c r="AI24" s="528"/>
      <c r="AJ24" s="515">
        <v>45.406</v>
      </c>
      <c r="AK24" s="528"/>
      <c r="AL24" s="515">
        <v>45.406</v>
      </c>
      <c r="AM24" s="528"/>
      <c r="AN24" s="515">
        <v>49.056</v>
      </c>
      <c r="AO24" s="528"/>
      <c r="AP24" s="515">
        <v>77.9275</v>
      </c>
      <c r="AQ24" s="528"/>
      <c r="AR24" s="515">
        <v>77.9275</v>
      </c>
      <c r="AS24" s="528"/>
      <c r="AT24" s="515">
        <v>77.9275</v>
      </c>
      <c r="AU24" s="528"/>
      <c r="AV24" s="515">
        <v>78.8</v>
      </c>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ok</v>
      </c>
      <c r="BP24" s="79"/>
      <c r="BQ24" s="79" t="str">
        <f t="shared" si="25"/>
        <v>&gt; 25%</v>
      </c>
      <c r="BR24" s="79"/>
      <c r="BS24" s="79" t="str">
        <f t="shared" si="26"/>
        <v>ok</v>
      </c>
      <c r="BT24" s="79"/>
      <c r="BU24" s="79" t="str">
        <f t="shared" si="27"/>
        <v>ok</v>
      </c>
      <c r="BV24" s="79"/>
      <c r="BW24" s="79" t="str">
        <f t="shared" si="28"/>
        <v>&gt; 25%</v>
      </c>
      <c r="BX24" s="79"/>
      <c r="BY24" s="79" t="str">
        <f t="shared" si="29"/>
        <v>&gt; 25%</v>
      </c>
      <c r="BZ24" s="79"/>
      <c r="CA24" s="79" t="str">
        <f t="shared" si="30"/>
        <v>ok</v>
      </c>
      <c r="CB24" s="79"/>
      <c r="CC24" s="79" t="str">
        <f t="shared" si="31"/>
        <v>&gt; 25%</v>
      </c>
      <c r="CD24" s="79"/>
      <c r="CE24" s="79" t="str">
        <f t="shared" si="32"/>
        <v>ok</v>
      </c>
      <c r="CF24" s="79"/>
      <c r="CG24" s="79" t="str">
        <f t="shared" si="33"/>
        <v>&gt; 25%</v>
      </c>
      <c r="CH24" s="79"/>
      <c r="CI24" s="79" t="str">
        <f t="shared" si="15"/>
        <v>ok</v>
      </c>
      <c r="CJ24" s="79"/>
      <c r="CK24" s="79" t="str">
        <f t="shared" si="16"/>
        <v>ok</v>
      </c>
      <c r="CL24" s="79"/>
      <c r="CM24" s="79" t="str">
        <f t="shared" si="17"/>
        <v>&gt; 25%</v>
      </c>
      <c r="CN24" s="79"/>
      <c r="CO24" s="79" t="str">
        <f t="shared" si="18"/>
        <v>ok</v>
      </c>
      <c r="CP24" s="79"/>
      <c r="CQ24" s="79" t="str">
        <f t="shared" si="19"/>
        <v>ok</v>
      </c>
      <c r="CR24" s="79"/>
      <c r="CS24" s="79" t="str">
        <f t="shared" si="20"/>
        <v>ok</v>
      </c>
      <c r="CT24" s="79"/>
    </row>
    <row r="25" spans="1:98" s="338" customFormat="1" ht="15" customHeight="1">
      <c r="A25" s="192"/>
      <c r="B25" s="327">
        <v>78</v>
      </c>
      <c r="C25" s="627">
        <v>17</v>
      </c>
      <c r="D25" s="328" t="s">
        <v>501</v>
      </c>
      <c r="E25" s="226" t="s">
        <v>298</v>
      </c>
      <c r="F25" s="515">
        <v>1899</v>
      </c>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v>5495</v>
      </c>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v>491</v>
      </c>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v>170</v>
      </c>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v>287</v>
      </c>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v>17904</v>
      </c>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v>3471</v>
      </c>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v>8348</v>
      </c>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v>7920</v>
      </c>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v>755</v>
      </c>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v>297</v>
      </c>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7" t="s">
        <v>195</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7" t="s">
        <v>250</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5" t="s">
        <v>637</v>
      </c>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5" t="s">
        <v>623</v>
      </c>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7" t="s">
        <v>143</v>
      </c>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347"/>
      <c r="AZ46" s="712">
        <v>3</v>
      </c>
      <c r="BA46" s="714" t="s">
        <v>120</v>
      </c>
      <c r="BB46" s="693" t="s">
        <v>78</v>
      </c>
      <c r="BC46" s="79">
        <f>F10</f>
        <v>10711</v>
      </c>
      <c r="BD46" s="79"/>
      <c r="BE46" s="79">
        <f>H10</f>
        <v>11272</v>
      </c>
      <c r="BF46" s="79"/>
      <c r="BG46" s="79">
        <f>J10</f>
        <v>16223</v>
      </c>
      <c r="BH46" s="79"/>
      <c r="BI46" s="79">
        <f>L10</f>
        <v>17148</v>
      </c>
      <c r="BJ46" s="79"/>
      <c r="BK46" s="79">
        <f>N10</f>
        <v>0</v>
      </c>
      <c r="BL46" s="79"/>
      <c r="BM46" s="79">
        <f>P10</f>
        <v>17190</v>
      </c>
      <c r="BN46" s="79"/>
      <c r="BO46" s="79">
        <f>R10</f>
        <v>17544</v>
      </c>
      <c r="BP46" s="79"/>
      <c r="BQ46" s="79">
        <f>T10</f>
        <v>17557</v>
      </c>
      <c r="BR46" s="79"/>
      <c r="BS46" s="79">
        <f>V10</f>
        <v>17629</v>
      </c>
      <c r="BT46" s="79"/>
      <c r="BU46" s="79">
        <f>X10</f>
        <v>17693</v>
      </c>
      <c r="BV46" s="79"/>
      <c r="BW46" s="79">
        <f>Z10</f>
        <v>17755</v>
      </c>
      <c r="BX46" s="79"/>
      <c r="BY46" s="79">
        <f>AB10</f>
        <v>18057</v>
      </c>
      <c r="BZ46" s="79"/>
      <c r="CA46" s="79">
        <f>AD10</f>
        <v>18256</v>
      </c>
      <c r="CB46" s="79"/>
      <c r="CC46" s="79">
        <f>AF10</f>
        <v>18339</v>
      </c>
      <c r="CD46" s="79"/>
      <c r="CE46" s="79">
        <f>AH10</f>
        <v>18469</v>
      </c>
      <c r="CF46" s="79"/>
      <c r="CG46" s="79">
        <f>AJ10</f>
        <v>18554</v>
      </c>
      <c r="CH46" s="79"/>
      <c r="CI46" s="79">
        <f>AL10</f>
        <v>18981</v>
      </c>
      <c r="CJ46" s="79"/>
      <c r="CK46" s="79">
        <f>AN10</f>
        <v>19265</v>
      </c>
      <c r="CL46" s="79"/>
      <c r="CM46" s="79">
        <f>AP10</f>
        <v>19540</v>
      </c>
      <c r="CN46" s="79"/>
      <c r="CO46" s="79">
        <f>AR10</f>
        <v>19793</v>
      </c>
      <c r="CP46" s="79"/>
      <c r="CQ46" s="79">
        <f>AT10</f>
        <v>20344</v>
      </c>
      <c r="CR46" s="79"/>
      <c r="CS46" s="79">
        <f>AV10</f>
        <v>20894</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7" t="s">
        <v>110</v>
      </c>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347"/>
      <c r="AZ47" s="715">
        <v>32</v>
      </c>
      <c r="BA47" s="716" t="s">
        <v>223</v>
      </c>
      <c r="BB47" s="693" t="s">
        <v>78</v>
      </c>
      <c r="BC47" s="82">
        <f>F8+F9</f>
        <v>10711</v>
      </c>
      <c r="BD47" s="82"/>
      <c r="BE47" s="82">
        <f>H8+H9</f>
        <v>11272</v>
      </c>
      <c r="BF47" s="82"/>
      <c r="BG47" s="82">
        <f>J8+J9</f>
        <v>16223</v>
      </c>
      <c r="BH47" s="82"/>
      <c r="BI47" s="82">
        <f>L8+L9</f>
        <v>17148</v>
      </c>
      <c r="BJ47" s="82"/>
      <c r="BK47" s="82">
        <f>N8+N9</f>
        <v>0</v>
      </c>
      <c r="BL47" s="82"/>
      <c r="BM47" s="82">
        <f>P8+P9</f>
        <v>17190</v>
      </c>
      <c r="BN47" s="82"/>
      <c r="BO47" s="82">
        <f>R8+R9</f>
        <v>17544</v>
      </c>
      <c r="BP47" s="82"/>
      <c r="BQ47" s="82">
        <f>T8+T9</f>
        <v>17557</v>
      </c>
      <c r="BR47" s="82"/>
      <c r="BS47" s="82">
        <f>V8+V9</f>
        <v>17629</v>
      </c>
      <c r="BT47" s="82"/>
      <c r="BU47" s="82">
        <f>X8+X9</f>
        <v>17693</v>
      </c>
      <c r="BV47" s="82"/>
      <c r="BW47" s="82">
        <f>Z8+Z9</f>
        <v>17755</v>
      </c>
      <c r="BX47" s="82"/>
      <c r="BY47" s="82">
        <f>AB8+AB9</f>
        <v>18057</v>
      </c>
      <c r="BZ47" s="82"/>
      <c r="CA47" s="82">
        <f>AD8+AD9</f>
        <v>18256</v>
      </c>
      <c r="CB47" s="82"/>
      <c r="CC47" s="82">
        <f>AF8+AF9</f>
        <v>18339</v>
      </c>
      <c r="CD47" s="82"/>
      <c r="CE47" s="82">
        <f>AH8+AH9</f>
        <v>18469</v>
      </c>
      <c r="CF47" s="82"/>
      <c r="CG47" s="82">
        <f>AJ8+AJ9</f>
        <v>18554</v>
      </c>
      <c r="CH47" s="82"/>
      <c r="CI47" s="82">
        <f>AL8+AL9</f>
        <v>18981</v>
      </c>
      <c r="CJ47" s="82"/>
      <c r="CK47" s="82">
        <f>AN8+AN9</f>
        <v>19265</v>
      </c>
      <c r="CL47" s="82"/>
      <c r="CM47" s="82">
        <f>AP8+AP9</f>
        <v>19540</v>
      </c>
      <c r="CN47" s="82"/>
      <c r="CO47" s="82">
        <f>AR8+AR9</f>
        <v>19793</v>
      </c>
      <c r="CP47" s="82"/>
      <c r="CQ47" s="82">
        <f>AT8+AT9</f>
        <v>20344</v>
      </c>
      <c r="CR47" s="82"/>
      <c r="CS47" s="82">
        <f>AV8+AV9</f>
        <v>20894</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347"/>
      <c r="AZ48" s="717" t="s">
        <v>176</v>
      </c>
      <c r="BA48" s="716" t="s">
        <v>601</v>
      </c>
      <c r="BB48" s="693"/>
      <c r="BC48" s="79" t="str">
        <f>IF(OR(ISBLANK(F8),ISBLANK(F9),ISBLANK(F10)),"N/A",IF((BC46=BC47),"ok","&lt;&gt;"))</f>
        <v>ok</v>
      </c>
      <c r="BD48" s="79"/>
      <c r="BE48" s="79" t="str">
        <f>IF(OR(ISBLANK(H8),ISBLANK(H9),ISBLANK(H10)),"N/A",IF((BE46=BE47),"ok","&lt;&gt;"))</f>
        <v>ok</v>
      </c>
      <c r="BF48" s="79"/>
      <c r="BG48" s="79" t="str">
        <f>IF(OR(ISBLANK(J8),ISBLANK(J9),ISBLANK(J10)),"N/A",IF((BG46=BG47),"ok","&lt;&gt;"))</f>
        <v>ok</v>
      </c>
      <c r="BH48" s="79"/>
      <c r="BI48" s="79" t="str">
        <f>IF(OR(ISBLANK(L8),ISBLANK(L9),ISBLANK(L10)),"N/A",IF((BI46=BI47),"ok","&lt;&gt;"))</f>
        <v>ok</v>
      </c>
      <c r="BJ48" s="79"/>
      <c r="BK48" s="79" t="str">
        <f>IF(OR(ISBLANK(N8),ISBLANK(N9),ISBLANK(N10)),"N/A",IF((BK46=BK47),"ok","&lt;&gt;"))</f>
        <v>N/A</v>
      </c>
      <c r="BL48" s="79"/>
      <c r="BM48" s="79" t="str">
        <f>IF(OR(ISBLANK(P8),ISBLANK(P9),ISBLANK(P10)),"N/A",IF((BM46=BM47),"ok","&lt;&gt;"))</f>
        <v>ok</v>
      </c>
      <c r="BN48" s="79"/>
      <c r="BO48" s="79" t="str">
        <f>IF(OR(ISBLANK(R8),ISBLANK(R9),ISBLANK(R10)),"N/A",IF((BO46=BO47),"ok","&lt;&gt;"))</f>
        <v>ok</v>
      </c>
      <c r="BP48" s="79"/>
      <c r="BQ48" s="79" t="str">
        <f>IF(OR(ISBLANK(T8),ISBLANK(T9),ISBLANK(T10)),"N/A",IF((BQ46=BQ47),"ok","&lt;&gt;"))</f>
        <v>ok</v>
      </c>
      <c r="BR48" s="79"/>
      <c r="BS48" s="79" t="str">
        <f>IF(OR(ISBLANK(V8),ISBLANK(V9),ISBLANK(V10)),"N/A",IF((BS46=BS47),"ok","&lt;&gt;"))</f>
        <v>ok</v>
      </c>
      <c r="BT48" s="79"/>
      <c r="BU48" s="79" t="str">
        <f>IF(OR(ISBLANK(X8),ISBLANK(X9),ISBLANK(X10)),"N/A",IF((BU46=BU47),"ok","&lt;&gt;"))</f>
        <v>ok</v>
      </c>
      <c r="BV48" s="79"/>
      <c r="BW48" s="79" t="str">
        <f>IF(OR(ISBLANK(Z8),ISBLANK(Z9),ISBLANK(Z10)),"N/A",IF((BW46=BW47),"ok","&lt;&gt;"))</f>
        <v>ok</v>
      </c>
      <c r="BX48" s="79"/>
      <c r="BY48" s="79" t="str">
        <f>IF(OR(ISBLANK(AB8),ISBLANK(AB9),ISBLANK(AB10)),"N/A",IF((BY46=BY47),"ok","&lt;&gt;"))</f>
        <v>ok</v>
      </c>
      <c r="BZ48" s="79"/>
      <c r="CA48" s="79" t="str">
        <f>IF(OR(ISBLANK(AD8),ISBLANK(AD9),ISBLANK(AD10)),"N/A",IF((CA46=CA47),"ok","&lt;&gt;"))</f>
        <v>ok</v>
      </c>
      <c r="CB48" s="79"/>
      <c r="CC48" s="79" t="str">
        <f>IF(OR(ISBLANK(AF8),ISBLANK(AF9),ISBLANK(AF10)),"N/A",IF((CC46=CC47),"ok","&lt;&gt;"))</f>
        <v>ok</v>
      </c>
      <c r="CD48" s="79"/>
      <c r="CE48" s="79" t="str">
        <f>IF(OR(ISBLANK(AH8),ISBLANK(AH9),ISBLANK(AH10)),"N/A",IF((CE46=CE47),"ok","&lt;&gt;"))</f>
        <v>ok</v>
      </c>
      <c r="CF48" s="79"/>
      <c r="CG48" s="79" t="str">
        <f>IF(OR(ISBLANK(AJ8),ISBLANK(AJ9),ISBLANK(AJ10)),"N/A",IF((CG46=CG47),"ok","&lt;&gt;"))</f>
        <v>ok</v>
      </c>
      <c r="CH48" s="79"/>
      <c r="CI48" s="79" t="str">
        <f>IF(OR(ISBLANK(AL8),ISBLANK(AL9),ISBLANK(AL10)),"N/A",IF((CI46=CI47),"ok","&lt;&gt;"))</f>
        <v>ok</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3"/>
      <c r="G49" s="803"/>
      <c r="H49" s="803"/>
      <c r="I49" s="803"/>
      <c r="J49" s="803"/>
      <c r="K49" s="803"/>
      <c r="L49" s="80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17904</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9" t="str">
        <f>D11&amp;" (W2,4)"</f>
        <v>Water returned without use (W2,4)</v>
      </c>
      <c r="M50" s="870"/>
      <c r="N50" s="870"/>
      <c r="O50" s="870"/>
      <c r="P50" s="871"/>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17564</v>
      </c>
      <c r="BD50" s="82"/>
      <c r="BE50" s="82">
        <f>H12+H24+H25+H26-H27</f>
        <v>0</v>
      </c>
      <c r="BF50" s="82"/>
      <c r="BG50" s="82">
        <f>J12+J24+J25+J26-J27</f>
        <v>0</v>
      </c>
      <c r="BH50" s="82"/>
      <c r="BI50" s="82">
        <f>L12+L24+L25+L26-L27</f>
        <v>0</v>
      </c>
      <c r="BJ50" s="82"/>
      <c r="BK50" s="82">
        <f>N12+N24+N25+N26-N27</f>
        <v>0</v>
      </c>
      <c r="BL50" s="82"/>
      <c r="BM50" s="82">
        <f>P12+P24+P25+P26-P27</f>
        <v>0.23725</v>
      </c>
      <c r="BN50" s="82"/>
      <c r="BO50" s="82">
        <f>R12+R24+R25+R26-R27</f>
        <v>0.23725</v>
      </c>
      <c r="BP50" s="82"/>
      <c r="BQ50" s="82">
        <f>T12+T24+T25+T26-T27</f>
        <v>11.18725</v>
      </c>
      <c r="BR50" s="82"/>
      <c r="BS50" s="82">
        <f>V12+V24+V25+V26-V27</f>
        <v>11.18725</v>
      </c>
      <c r="BT50" s="82"/>
      <c r="BU50" s="82">
        <f>X12+X24+X25+X26-X27</f>
        <v>11.91725</v>
      </c>
      <c r="BV50" s="82"/>
      <c r="BW50" s="82">
        <f>Z12+Z24+Z25+Z26-Z27</f>
        <v>19.6005</v>
      </c>
      <c r="BX50" s="82"/>
      <c r="BY50" s="82">
        <f>AB12+AB24+AB25+AB26-AB27</f>
        <v>25.6595</v>
      </c>
      <c r="BZ50" s="82"/>
      <c r="CA50" s="82">
        <f>AD12+AD24+AD25+AD26-AD27</f>
        <v>26.5355</v>
      </c>
      <c r="CB50" s="82"/>
      <c r="CC50" s="82">
        <f>AF12+AF24+AF25+AF26-AF27</f>
        <v>33.8355</v>
      </c>
      <c r="CD50" s="82"/>
      <c r="CE50" s="82">
        <f>AH12+AH24+AH25+AH26-AH27</f>
        <v>34.456</v>
      </c>
      <c r="CF50" s="82"/>
      <c r="CG50" s="82">
        <f>AJ12+AJ24+AJ25+AJ26-AJ27</f>
        <v>45.406</v>
      </c>
      <c r="CH50" s="82"/>
      <c r="CI50" s="82">
        <f>AL12+AL24+AL25+AL26-AL27</f>
        <v>18546.406</v>
      </c>
      <c r="CJ50" s="82"/>
      <c r="CK50" s="82">
        <f>AN12+AN24+AN25+AN26-AN27</f>
        <v>49.056</v>
      </c>
      <c r="CL50" s="82"/>
      <c r="CM50" s="82">
        <f>AP12+AP24+AP25+AP26-AP27</f>
        <v>77.9275</v>
      </c>
      <c r="CN50" s="82"/>
      <c r="CO50" s="82">
        <f>AR12+AR24+AR25+AR26-AR27</f>
        <v>77.9275</v>
      </c>
      <c r="CP50" s="82"/>
      <c r="CQ50" s="82">
        <f>AT12+AT24+AT25+AT26-AT27</f>
        <v>77.9275</v>
      </c>
      <c r="CR50" s="82"/>
      <c r="CS50" s="82">
        <f>AV12+AV24+AV25+AV26-AV27</f>
        <v>282.79999999999995</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9" t="str">
        <f>LEFT(D12,LEN(D12)-7)&amp;" (W2,5)"</f>
        <v>Net freshwater abstracted (W2,5)</v>
      </c>
      <c r="F51" s="796"/>
      <c r="G51" s="796"/>
      <c r="H51" s="869"/>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3"/>
      <c r="AR51" s="803"/>
      <c r="AS51" s="803"/>
      <c r="AT51" s="803"/>
      <c r="AU51" s="803"/>
      <c r="AV51" s="803"/>
      <c r="AW51" s="80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3"/>
      <c r="AR52" s="803"/>
      <c r="AS52" s="803"/>
      <c r="AT52" s="803"/>
      <c r="AU52" s="803"/>
      <c r="AV52" s="803"/>
      <c r="AW52" s="803"/>
      <c r="AX52" s="191"/>
      <c r="AZ52" s="696">
        <v>5</v>
      </c>
      <c r="BA52" s="714" t="s">
        <v>615</v>
      </c>
      <c r="BB52" s="693" t="s">
        <v>78</v>
      </c>
      <c r="BC52" s="79">
        <f>F12</f>
        <v>10340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18501</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4" t="str">
        <f>D24&amp;" (W2,16)"</f>
        <v>Desalinated water (W2,16)</v>
      </c>
      <c r="G53" s="845"/>
      <c r="H53" s="84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3"/>
      <c r="AL53" s="863"/>
      <c r="AM53" s="863"/>
      <c r="AN53" s="493"/>
      <c r="AO53" s="493"/>
      <c r="AP53" s="493"/>
      <c r="AQ53" s="557"/>
      <c r="AR53" s="557"/>
      <c r="AS53" s="557"/>
      <c r="AT53" s="557"/>
      <c r="AU53" s="557"/>
      <c r="AV53" s="557"/>
      <c r="AW53" s="557"/>
      <c r="AX53" s="191"/>
      <c r="AZ53" s="715">
        <v>34</v>
      </c>
      <c r="BA53" s="719" t="s">
        <v>606</v>
      </c>
      <c r="BB53" s="693" t="s">
        <v>78</v>
      </c>
      <c r="BC53" s="82">
        <f>SUM(F14:F16)+SUM(F18:F20)+SUM(F22:F23)</f>
        <v>10631</v>
      </c>
      <c r="BD53" s="82"/>
      <c r="BE53" s="82">
        <f>SUM(H14:H16)+SUM(H18:H20)+SUM(H22:H23)</f>
        <v>11152</v>
      </c>
      <c r="BF53" s="82"/>
      <c r="BG53" s="82">
        <f>SUM(J14:J16)+SUM(J18:J20)+SUM(J22:J23)</f>
        <v>16137</v>
      </c>
      <c r="BH53" s="82"/>
      <c r="BI53" s="82">
        <f>SUM(L14:L16)+SUM(L18:L20)+SUM(L22:L23)</f>
        <v>17062</v>
      </c>
      <c r="BJ53" s="82"/>
      <c r="BK53" s="82">
        <f>SUM(N14:N16)+SUM(N18:N20)+SUM(N22:N23)</f>
        <v>1306</v>
      </c>
      <c r="BL53" s="82"/>
      <c r="BM53" s="82">
        <f>SUM(P14:P16)+SUM(P18:P20)+SUM(P22:P23)</f>
        <v>17103</v>
      </c>
      <c r="BN53" s="82"/>
      <c r="BO53" s="82">
        <f>SUM(R14:R16)+SUM(R18:R20)+SUM(R22:R23)</f>
        <v>17456</v>
      </c>
      <c r="BP53" s="82"/>
      <c r="BQ53" s="82">
        <f>SUM(T14:T16)+SUM(T18:T20)+SUM(T22:T23)</f>
        <v>17446</v>
      </c>
      <c r="BR53" s="82"/>
      <c r="BS53" s="82">
        <f>SUM(V14:V16)+SUM(V18:V20)+SUM(V22:V23)</f>
        <v>17529</v>
      </c>
      <c r="BT53" s="82"/>
      <c r="BU53" s="82">
        <f>SUM(X14:X16)+SUM(X18:X20)+SUM(X22:X23)</f>
        <v>17596</v>
      </c>
      <c r="BV53" s="82"/>
      <c r="BW53" s="82">
        <f>SUM(Z14:Z16)+SUM(Z18:Z20)+SUM(Z22:Z23)</f>
        <v>17660</v>
      </c>
      <c r="BX53" s="82"/>
      <c r="BY53" s="82">
        <f>SUM(AB14:AB16)+SUM(AB18:AB20)+SUM(AB22:AB23)</f>
        <v>17961</v>
      </c>
      <c r="BZ53" s="82"/>
      <c r="CA53" s="82">
        <f>SUM(AD14:AD16)+SUM(AD18:AD20)+SUM(AD22:AD23)</f>
        <v>18160</v>
      </c>
      <c r="CB53" s="82"/>
      <c r="CC53" s="82">
        <f>SUM(AF14:AF16)+SUM(AF18:AF20)+SUM(AF22:AF23)</f>
        <v>18240</v>
      </c>
      <c r="CD53" s="82"/>
      <c r="CE53" s="82">
        <f>SUM(AH14:AH16)+SUM(AH18:AH20)+SUM(AH22:AH23)</f>
        <v>18348</v>
      </c>
      <c r="CF53" s="82"/>
      <c r="CG53" s="82">
        <f>SUM(AJ14:AJ16)+SUM(AJ18:AJ20)+SUM(AJ22:AJ23)</f>
        <v>18436</v>
      </c>
      <c r="CH53" s="82"/>
      <c r="CI53" s="82">
        <f>SUM(AL14:AL16)+SUM(AL18:AL20)+SUM(AL22:AL23)</f>
        <v>18872</v>
      </c>
      <c r="CJ53" s="82"/>
      <c r="CK53" s="82">
        <f>SUM(AN14:AN16)+SUM(AN18:AN20)+SUM(AN22:AN23)</f>
        <v>19156</v>
      </c>
      <c r="CL53" s="82"/>
      <c r="CM53" s="82">
        <f>SUM(AP14:AP16)+SUM(AP18:AP20)+SUM(AP22:AP23)</f>
        <v>19430</v>
      </c>
      <c r="CN53" s="82"/>
      <c r="CO53" s="82">
        <f>SUM(AR14:AR16)+SUM(AR18:AR20)+SUM(AR22:AR23)</f>
        <v>19734</v>
      </c>
      <c r="CP53" s="82"/>
      <c r="CQ53" s="82">
        <f>SUM(AT14:AT16)+SUM(AT18:AT20)+SUM(AT22:AT23)</f>
        <v>20214</v>
      </c>
      <c r="CR53" s="82"/>
      <c r="CS53" s="82">
        <f>SUM(AV14:AV16)+SUM(AV18:AV20)+SUM(AV22:AV23)</f>
        <v>20573</v>
      </c>
      <c r="CT53" s="82"/>
    </row>
    <row r="54" spans="2:98" ht="11.25" customHeight="1">
      <c r="B54" s="489"/>
      <c r="C54" s="498"/>
      <c r="D54" s="499"/>
      <c r="E54" s="493"/>
      <c r="F54" s="850"/>
      <c r="G54" s="851"/>
      <c r="H54" s="852"/>
      <c r="I54" s="493"/>
      <c r="J54" s="493"/>
      <c r="K54" s="493"/>
      <c r="L54" s="493"/>
      <c r="M54" s="493"/>
      <c r="N54" s="493"/>
      <c r="O54" s="493"/>
      <c r="P54" s="493"/>
      <c r="Q54" s="493"/>
      <c r="R54" s="493"/>
      <c r="S54" s="493"/>
      <c r="T54" s="493"/>
      <c r="U54" s="864" t="s">
        <v>514</v>
      </c>
      <c r="V54" s="865"/>
      <c r="W54" s="493"/>
      <c r="X54" s="493"/>
      <c r="Y54" s="493"/>
      <c r="Z54" s="511"/>
      <c r="AK54" s="863"/>
      <c r="AL54" s="863"/>
      <c r="AM54" s="863"/>
      <c r="AN54" s="493"/>
      <c r="AO54" s="493"/>
      <c r="AP54" s="493"/>
      <c r="AQ54" s="803"/>
      <c r="AR54" s="863"/>
      <c r="AS54" s="863"/>
      <c r="AT54" s="863"/>
      <c r="AU54" s="863"/>
      <c r="AV54" s="863"/>
      <c r="AW54" s="863"/>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4" t="str">
        <f>LEFT(D28,LEN(D28)-16)&amp;" (W2,20)"</f>
        <v>Total freshwater available for use  (W2,20)</v>
      </c>
      <c r="M55" s="845"/>
      <c r="N55" s="846"/>
      <c r="O55" s="493"/>
      <c r="P55" s="493"/>
      <c r="Q55" s="844" t="str">
        <f>LEFT(D30,LEN(D30)-8)&amp;" (W2,22)"</f>
        <v>Total freshwater use  (W2,22)</v>
      </c>
      <c r="R55" s="845"/>
      <c r="S55" s="846"/>
      <c r="U55" s="865"/>
      <c r="V55" s="865"/>
      <c r="W55" s="493"/>
      <c r="X55" s="493"/>
      <c r="Y55" s="493"/>
      <c r="Z55" s="511"/>
      <c r="AA55" s="859" t="str">
        <f>D32&amp;" (W2,23)"</f>
        <v>    Households  (W2,23)</v>
      </c>
      <c r="AB55" s="860"/>
      <c r="AC55" s="860"/>
      <c r="AD55" s="860"/>
      <c r="AE55" s="860"/>
      <c r="AF55" s="860"/>
      <c r="AG55" s="860"/>
      <c r="AH55" s="861"/>
      <c r="AI55" s="861"/>
      <c r="AJ55" s="862"/>
      <c r="AK55" s="863"/>
      <c r="AL55" s="863"/>
      <c r="AM55" s="863"/>
      <c r="AN55" s="856"/>
      <c r="AO55" s="857"/>
      <c r="AP55" s="493"/>
      <c r="AQ55" s="863"/>
      <c r="AR55" s="863"/>
      <c r="AS55" s="863"/>
      <c r="AT55" s="863"/>
      <c r="AU55" s="863"/>
      <c r="AV55" s="863"/>
      <c r="AW55" s="863"/>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7"/>
      <c r="M56" s="848"/>
      <c r="N56" s="849"/>
      <c r="O56" s="493"/>
      <c r="P56" s="493"/>
      <c r="Q56" s="847"/>
      <c r="R56" s="848"/>
      <c r="S56" s="849"/>
      <c r="T56" s="493"/>
      <c r="U56" s="493"/>
      <c r="V56" s="493"/>
      <c r="W56" s="493"/>
      <c r="X56" s="493"/>
      <c r="Y56" s="493"/>
      <c r="Z56" s="495"/>
      <c r="AK56" s="863"/>
      <c r="AL56" s="863"/>
      <c r="AM56" s="863"/>
      <c r="AN56" s="858"/>
      <c r="AO56" s="857"/>
      <c r="AP56" s="493"/>
      <c r="AQ56" s="495"/>
      <c r="AR56" s="495"/>
      <c r="AS56" s="495"/>
      <c r="AT56" s="495"/>
      <c r="AU56" s="495"/>
      <c r="AV56" s="495"/>
      <c r="AW56" s="495"/>
      <c r="AZ56" s="715">
        <v>35</v>
      </c>
      <c r="BA56" s="716" t="s">
        <v>605</v>
      </c>
      <c r="BB56" s="693" t="s">
        <v>78</v>
      </c>
      <c r="BC56" s="79">
        <f>F28-F29</f>
        <v>17904</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9" t="str">
        <f>D25&amp;" (W2,17)"</f>
        <v>Reused water (W2,17)</v>
      </c>
      <c r="G57" s="796"/>
      <c r="H57" s="787"/>
      <c r="I57" s="493"/>
      <c r="J57" s="493"/>
      <c r="K57" s="493"/>
      <c r="L57" s="847"/>
      <c r="M57" s="848"/>
      <c r="N57" s="849"/>
      <c r="O57" s="493"/>
      <c r="P57" s="493"/>
      <c r="Q57" s="847"/>
      <c r="R57" s="848"/>
      <c r="S57" s="849"/>
      <c r="T57" s="493"/>
      <c r="U57" s="493"/>
      <c r="V57" s="493"/>
      <c r="W57" s="493"/>
      <c r="X57" s="493"/>
      <c r="Y57" s="493"/>
      <c r="Z57" s="253"/>
      <c r="AA57" s="853" t="str">
        <f>D33&amp;" (W2,24)"</f>
        <v>Agriculture, forestry and fishing (ISIC 01-03) (W2,24)</v>
      </c>
      <c r="AB57" s="796"/>
      <c r="AC57" s="796"/>
      <c r="AD57" s="796"/>
      <c r="AE57" s="796"/>
      <c r="AF57" s="796"/>
      <c r="AG57" s="796"/>
      <c r="AH57" s="854"/>
      <c r="AI57" s="854"/>
      <c r="AJ57" s="855"/>
      <c r="AK57" s="863"/>
      <c r="AL57" s="863"/>
      <c r="AM57" s="863"/>
      <c r="AN57" s="501"/>
      <c r="AO57" s="502"/>
      <c r="AP57" s="493"/>
      <c r="AQ57" s="803"/>
      <c r="AR57" s="803"/>
      <c r="AS57" s="803"/>
      <c r="AT57" s="803"/>
      <c r="AU57" s="803"/>
      <c r="AV57" s="803"/>
      <c r="AW57" s="80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7"/>
      <c r="M58" s="848"/>
      <c r="N58" s="849"/>
      <c r="O58" s="493"/>
      <c r="P58" s="493"/>
      <c r="Q58" s="847"/>
      <c r="R58" s="848"/>
      <c r="S58" s="849"/>
      <c r="T58" s="493"/>
      <c r="U58" s="493"/>
      <c r="V58" s="493"/>
      <c r="W58" s="493"/>
      <c r="X58" s="493"/>
      <c r="Y58" s="493"/>
      <c r="Z58" s="495"/>
      <c r="AA58" s="493"/>
      <c r="AB58" s="493"/>
      <c r="AC58" s="493"/>
      <c r="AD58" s="493"/>
      <c r="AE58" s="493"/>
      <c r="AF58" s="493"/>
      <c r="AG58" s="493"/>
      <c r="AH58" s="493"/>
      <c r="AI58" s="493"/>
      <c r="AJ58" s="493"/>
      <c r="AK58" s="863"/>
      <c r="AL58" s="863"/>
      <c r="AM58" s="863"/>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7"/>
      <c r="M59" s="848"/>
      <c r="N59" s="849"/>
      <c r="O59" s="493"/>
      <c r="P59" s="493"/>
      <c r="Q59" s="847"/>
      <c r="R59" s="848"/>
      <c r="S59" s="849"/>
      <c r="T59" s="493"/>
      <c r="U59" s="493"/>
      <c r="V59" s="493"/>
      <c r="W59" s="493"/>
      <c r="X59" s="493"/>
      <c r="Y59" s="493"/>
      <c r="Z59" s="495"/>
      <c r="AA59" s="853" t="str">
        <f>D35&amp;" (W2,26)"</f>
        <v>Mining and quarrying (ISIC 05-09) (W2,26)</v>
      </c>
      <c r="AB59" s="796"/>
      <c r="AC59" s="796"/>
      <c r="AD59" s="796"/>
      <c r="AE59" s="796"/>
      <c r="AF59" s="796"/>
      <c r="AG59" s="796"/>
      <c r="AH59" s="854"/>
      <c r="AI59" s="854"/>
      <c r="AJ59" s="85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7"/>
      <c r="M60" s="848"/>
      <c r="N60" s="849"/>
      <c r="O60" s="493"/>
      <c r="P60" s="493"/>
      <c r="Q60" s="847"/>
      <c r="R60" s="848"/>
      <c r="S60" s="84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7"/>
      <c r="M61" s="848"/>
      <c r="N61" s="849"/>
      <c r="O61" s="493"/>
      <c r="P61" s="493"/>
      <c r="Q61" s="847"/>
      <c r="R61" s="848"/>
      <c r="S61" s="849"/>
      <c r="T61" s="493"/>
      <c r="U61" s="493"/>
      <c r="V61" s="493"/>
      <c r="W61" s="493"/>
      <c r="X61" s="493"/>
      <c r="Y61" s="493"/>
      <c r="Z61" s="495"/>
      <c r="AA61" s="853" t="str">
        <f>D36&amp;" (W2,27)"</f>
        <v>Manufacturing (ISIC 10-33) (W2,27)</v>
      </c>
      <c r="AB61" s="796"/>
      <c r="AC61" s="796"/>
      <c r="AD61" s="796"/>
      <c r="AE61" s="796"/>
      <c r="AF61" s="796"/>
      <c r="AG61" s="796"/>
      <c r="AH61" s="854"/>
      <c r="AI61" s="854"/>
      <c r="AJ61" s="85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7"/>
      <c r="M62" s="848"/>
      <c r="N62" s="849"/>
      <c r="O62" s="493"/>
      <c r="P62" s="493"/>
      <c r="Q62" s="847"/>
      <c r="R62" s="848"/>
      <c r="S62" s="84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0"/>
      <c r="M63" s="851"/>
      <c r="N63" s="852"/>
      <c r="O63" s="493"/>
      <c r="P63" s="493"/>
      <c r="Q63" s="850"/>
      <c r="R63" s="851"/>
      <c r="S63" s="852"/>
      <c r="T63" s="493"/>
      <c r="U63" s="493"/>
      <c r="V63" s="493"/>
      <c r="W63" s="493"/>
      <c r="X63" s="496"/>
      <c r="Y63" s="253"/>
      <c r="Z63" s="253"/>
      <c r="AA63" s="853" t="str">
        <f>D37&amp;" (W2,28)"</f>
        <v>Electricity, gas, steam and air conditioning supply  (ISIC 35) (W2,28)</v>
      </c>
      <c r="AB63" s="796"/>
      <c r="AC63" s="796"/>
      <c r="AD63" s="796"/>
      <c r="AE63" s="796"/>
      <c r="AF63" s="796"/>
      <c r="AG63" s="796"/>
      <c r="AH63" s="854"/>
      <c r="AI63" s="854"/>
      <c r="AJ63" s="855"/>
      <c r="AK63" s="495"/>
      <c r="AL63" s="495"/>
      <c r="AM63" s="495"/>
      <c r="AN63" s="493"/>
      <c r="AO63" s="493"/>
      <c r="AP63" s="493"/>
      <c r="AQ63" s="803"/>
      <c r="AR63" s="803"/>
      <c r="AS63" s="803"/>
      <c r="AT63" s="803"/>
      <c r="AU63" s="803"/>
      <c r="AV63" s="803"/>
      <c r="AW63" s="80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4" t="str">
        <f>D26&amp;" - "&amp;D27&amp;"  =(W2,18) - (W2,19)"</f>
        <v>Imports of water - Exports of water  =(W2,18) - (W2,19)</v>
      </c>
      <c r="G64" s="845"/>
      <c r="H64" s="846"/>
      <c r="I64" s="493"/>
      <c r="J64" s="493"/>
      <c r="K64" s="493"/>
      <c r="L64" s="493"/>
      <c r="M64" s="493"/>
      <c r="N64" s="493"/>
      <c r="O64" s="493"/>
      <c r="P64" s="493"/>
      <c r="Q64" s="493"/>
      <c r="R64" s="493"/>
      <c r="S64" s="493"/>
      <c r="T64" s="493"/>
      <c r="U64" s="493"/>
      <c r="V64" s="493"/>
      <c r="W64" s="493"/>
      <c r="X64" s="496"/>
      <c r="Y64" s="253"/>
      <c r="Z64" s="556"/>
      <c r="AB64" s="803"/>
      <c r="AC64" s="803"/>
      <c r="AD64" s="803"/>
      <c r="AE64" s="803"/>
      <c r="AF64" s="803"/>
      <c r="AG64" s="803"/>
      <c r="AH64" s="803"/>
      <c r="AI64" s="803"/>
      <c r="AJ64" s="80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7"/>
      <c r="G65" s="848"/>
      <c r="H65" s="849"/>
      <c r="I65" s="493"/>
      <c r="J65" s="493"/>
      <c r="K65" s="493"/>
      <c r="L65" s="493"/>
      <c r="M65" s="493"/>
      <c r="N65" s="844" t="str">
        <f>D29&amp;" (W2,21)"</f>
        <v>Losses during transport (W2,21)</v>
      </c>
      <c r="O65" s="845"/>
      <c r="P65" s="846"/>
      <c r="Q65" s="493"/>
      <c r="R65" s="493"/>
      <c r="S65" s="493"/>
      <c r="T65" s="493"/>
      <c r="U65" s="493"/>
      <c r="V65" s="493"/>
      <c r="W65" s="493"/>
      <c r="X65" s="496"/>
      <c r="Y65" s="253"/>
      <c r="Z65" s="556"/>
      <c r="AA65" s="853" t="str">
        <f>D39&amp;" (W2,30)"</f>
        <v>Construction (ISIC 41-43) (W2,30)</v>
      </c>
      <c r="AB65" s="796"/>
      <c r="AC65" s="796"/>
      <c r="AD65" s="796"/>
      <c r="AE65" s="796"/>
      <c r="AF65" s="796"/>
      <c r="AG65" s="796"/>
      <c r="AH65" s="854"/>
      <c r="AI65" s="854"/>
      <c r="AJ65" s="855"/>
      <c r="AK65" s="253"/>
      <c r="AL65" s="253"/>
      <c r="AM65" s="495"/>
      <c r="AN65" s="493"/>
      <c r="AO65" s="493"/>
      <c r="AP65" s="493"/>
      <c r="AQ65" s="803"/>
      <c r="AR65" s="803"/>
      <c r="AS65" s="803"/>
      <c r="AT65" s="803"/>
      <c r="AU65" s="803"/>
      <c r="AV65" s="803"/>
      <c r="AW65" s="80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50"/>
      <c r="O66" s="851"/>
      <c r="P66" s="852"/>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3" t="str">
        <f>D40&amp;" (W2,31)"</f>
        <v>Other economic activities (W2,31)</v>
      </c>
      <c r="AB67" s="796"/>
      <c r="AC67" s="796"/>
      <c r="AD67" s="796"/>
      <c r="AE67" s="796"/>
      <c r="AF67" s="796"/>
      <c r="AG67" s="796"/>
      <c r="AH67" s="854"/>
      <c r="AI67" s="854"/>
      <c r="AJ67" s="85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0</v>
      </c>
      <c r="B71" s="163">
        <v>-1</v>
      </c>
      <c r="C71" s="484" t="s">
        <v>646</v>
      </c>
      <c r="D71" s="828" t="s">
        <v>653</v>
      </c>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3:99"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05"/>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5"/>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5"/>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5"/>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585"/>
      <c r="CU77" s="270"/>
    </row>
    <row r="78" spans="3:99" ht="18" customHeight="1">
      <c r="C78" s="484"/>
      <c r="D78" s="805"/>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585"/>
      <c r="CU78" s="270"/>
    </row>
    <row r="79" spans="3:99" ht="18" customHeight="1">
      <c r="C79" s="484"/>
      <c r="D79" s="805"/>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585"/>
      <c r="CU79" s="270"/>
    </row>
    <row r="80" spans="3:99" ht="18" customHeight="1">
      <c r="C80" s="484"/>
      <c r="D80" s="805"/>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585"/>
      <c r="CU80" s="270"/>
    </row>
    <row r="81" spans="3:99" ht="18" customHeight="1">
      <c r="C81" s="484"/>
      <c r="D81" s="805"/>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585"/>
      <c r="CU81" s="270"/>
    </row>
    <row r="82" spans="3:99" ht="18" customHeight="1">
      <c r="C82" s="484"/>
      <c r="D82" s="805"/>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585"/>
      <c r="CU82" s="270"/>
    </row>
    <row r="83" spans="3:99" ht="18" customHeight="1">
      <c r="C83" s="484"/>
      <c r="D83" s="805"/>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585"/>
      <c r="CU83" s="270"/>
    </row>
    <row r="84" spans="2:99" ht="18" customHeight="1">
      <c r="B84" s="367"/>
      <c r="C84" s="484"/>
      <c r="D84" s="805"/>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585"/>
      <c r="CU84" s="270"/>
    </row>
    <row r="85" spans="3:99" ht="18" customHeight="1">
      <c r="C85" s="484"/>
      <c r="D85" s="805"/>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585"/>
      <c r="CU85" s="270"/>
    </row>
    <row r="86" spans="3:99" ht="18" customHeight="1">
      <c r="C86" s="484"/>
      <c r="D86" s="805"/>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585"/>
      <c r="CU86" s="270"/>
    </row>
    <row r="87" spans="3:99" ht="18" customHeight="1">
      <c r="C87" s="484"/>
      <c r="D87" s="805"/>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585"/>
      <c r="CU87" s="270"/>
    </row>
    <row r="88" spans="3:50" ht="18" customHeight="1">
      <c r="C88" s="484"/>
      <c r="D88" s="805"/>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585"/>
    </row>
    <row r="89" spans="3:50" ht="18" customHeight="1">
      <c r="C89" s="484"/>
      <c r="D89" s="805"/>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585"/>
    </row>
    <row r="90" spans="2:98" ht="18" customHeight="1">
      <c r="B90" s="490"/>
      <c r="C90" s="484"/>
      <c r="D90" s="805"/>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5"/>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710</v>
      </c>
      <c r="C3" s="299" t="s">
        <v>296</v>
      </c>
      <c r="D3" s="29" t="s">
        <v>456</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7"/>
      <c r="BH3" s="897"/>
      <c r="BI3" s="897"/>
      <c r="BJ3" s="385"/>
      <c r="BK3" s="385"/>
      <c r="BL3" s="385"/>
      <c r="BM3" s="897"/>
      <c r="BN3" s="897"/>
      <c r="BO3" s="897"/>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2" t="s">
        <v>197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v>14663</v>
      </c>
      <c r="U8" s="525"/>
      <c r="V8" s="539">
        <v>14792</v>
      </c>
      <c r="W8" s="525"/>
      <c r="X8" s="539">
        <v>15103</v>
      </c>
      <c r="Y8" s="525"/>
      <c r="Z8" s="539">
        <v>15252</v>
      </c>
      <c r="AA8" s="525"/>
      <c r="AB8" s="539">
        <v>15370</v>
      </c>
      <c r="AC8" s="525"/>
      <c r="AD8" s="539">
        <v>16112</v>
      </c>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ok</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v>1333</v>
      </c>
      <c r="U9" s="525"/>
      <c r="V9" s="539">
        <v>1345</v>
      </c>
      <c r="W9" s="525"/>
      <c r="X9" s="539">
        <v>1373</v>
      </c>
      <c r="Y9" s="525"/>
      <c r="Z9" s="539">
        <v>1387</v>
      </c>
      <c r="AA9" s="525"/>
      <c r="AB9" s="539">
        <v>1397</v>
      </c>
      <c r="AC9" s="525"/>
      <c r="AD9" s="539">
        <v>1465</v>
      </c>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ok</v>
      </c>
      <c r="BT9" s="82"/>
      <c r="BU9" s="82" t="str">
        <f>IF(OR(ISBLANK(V9),ISBLANK(X9)),"N/A",IF(ABS((X9-V9)/V9)&gt;0.25,"&gt; 25%","ok"))</f>
        <v>ok</v>
      </c>
      <c r="BV9" s="82"/>
      <c r="BW9" s="82" t="str">
        <f>IF(OR(ISBLANK(X9),ISBLANK(Z9)),"N/A",IF(ABS((Z9-X9)/X9)&gt;0.25,"&gt; 25%","ok"))</f>
        <v>ok</v>
      </c>
      <c r="BX9" s="82"/>
      <c r="BY9" s="82" t="str">
        <f>IF(OR(ISBLANK(Z9),ISBLANK(AB9)),"N/A",IF(ABS((AB9-Z9)/Z9)&gt;0.25,"&gt; 25%","ok"))</f>
        <v>ok</v>
      </c>
      <c r="BZ9" s="82"/>
      <c r="CA9" s="82" t="str">
        <f>IF(OR(ISBLANK(AB9),ISBLANK(AD9)),"N/A",IF(ABS((AD9-AB9)/AB9)&gt;0.25,"&gt; 25%","ok"))</f>
        <v>ok</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v>13330</v>
      </c>
      <c r="U10" s="525"/>
      <c r="V10" s="539">
        <v>13447</v>
      </c>
      <c r="W10" s="525"/>
      <c r="X10" s="539">
        <v>13730</v>
      </c>
      <c r="Y10" s="525"/>
      <c r="Z10" s="539">
        <v>13866</v>
      </c>
      <c r="AA10" s="525"/>
      <c r="AB10" s="539">
        <v>13973</v>
      </c>
      <c r="AC10" s="525"/>
      <c r="AD10" s="539">
        <v>14647</v>
      </c>
      <c r="AE10" s="525"/>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v>3610</v>
      </c>
      <c r="G12" s="523" t="s">
        <v>646</v>
      </c>
      <c r="H12" s="513"/>
      <c r="I12" s="523"/>
      <c r="J12" s="513"/>
      <c r="K12" s="523"/>
      <c r="L12" s="513"/>
      <c r="M12" s="523"/>
      <c r="N12" s="513"/>
      <c r="O12" s="523"/>
      <c r="P12" s="513"/>
      <c r="Q12" s="523"/>
      <c r="R12" s="513"/>
      <c r="S12" s="523"/>
      <c r="T12" s="513">
        <v>3599</v>
      </c>
      <c r="U12" s="523"/>
      <c r="V12" s="513">
        <v>3631</v>
      </c>
      <c r="W12" s="523"/>
      <c r="X12" s="513">
        <v>3707</v>
      </c>
      <c r="Y12" s="523"/>
      <c r="Z12" s="513">
        <v>3744</v>
      </c>
      <c r="AA12" s="523"/>
      <c r="AB12" s="513">
        <v>3774</v>
      </c>
      <c r="AC12" s="523"/>
      <c r="AD12" s="513">
        <v>3955</v>
      </c>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v>8664</v>
      </c>
      <c r="U13" s="524"/>
      <c r="V13" s="538">
        <v>8741</v>
      </c>
      <c r="W13" s="524"/>
      <c r="X13" s="538">
        <v>8924</v>
      </c>
      <c r="Y13" s="524"/>
      <c r="Z13" s="538">
        <v>9013</v>
      </c>
      <c r="AA13" s="524"/>
      <c r="AB13" s="538">
        <v>9083</v>
      </c>
      <c r="AC13" s="524"/>
      <c r="AD13" s="538">
        <v>9521</v>
      </c>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ok</v>
      </c>
      <c r="BT13" s="82"/>
      <c r="BU13" s="82" t="str">
        <f t="shared" si="12"/>
        <v>ok</v>
      </c>
      <c r="BV13" s="82"/>
      <c r="BW13" s="82" t="str">
        <f t="shared" si="13"/>
        <v>ok</v>
      </c>
      <c r="BX13" s="82"/>
      <c r="BY13" s="82" t="str">
        <f t="shared" si="14"/>
        <v>ok</v>
      </c>
      <c r="BZ13" s="82"/>
      <c r="CA13" s="82" t="str">
        <f t="shared" si="15"/>
        <v>ok</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v>400</v>
      </c>
      <c r="U15" s="524"/>
      <c r="V15" s="538">
        <v>403</v>
      </c>
      <c r="W15" s="524"/>
      <c r="X15" s="538">
        <v>412</v>
      </c>
      <c r="Y15" s="524"/>
      <c r="Z15" s="538">
        <v>416</v>
      </c>
      <c r="AA15" s="524"/>
      <c r="AB15" s="538">
        <v>419</v>
      </c>
      <c r="AC15" s="524"/>
      <c r="AD15" s="538">
        <v>439</v>
      </c>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ok</v>
      </c>
      <c r="BT15" s="82"/>
      <c r="BU15" s="82" t="str">
        <f t="shared" si="12"/>
        <v>ok</v>
      </c>
      <c r="BV15" s="82"/>
      <c r="BW15" s="82" t="str">
        <f t="shared" si="13"/>
        <v>ok</v>
      </c>
      <c r="BX15" s="82"/>
      <c r="BY15" s="82" t="str">
        <f t="shared" si="14"/>
        <v>ok</v>
      </c>
      <c r="BZ15" s="82"/>
      <c r="CA15" s="82" t="str">
        <f t="shared" si="15"/>
        <v>ok</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v>267</v>
      </c>
      <c r="U17" s="524"/>
      <c r="V17" s="538">
        <v>269</v>
      </c>
      <c r="W17" s="524"/>
      <c r="X17" s="538">
        <v>275</v>
      </c>
      <c r="Y17" s="524"/>
      <c r="Z17" s="538">
        <v>277</v>
      </c>
      <c r="AA17" s="524"/>
      <c r="AB17" s="538">
        <v>279</v>
      </c>
      <c r="AC17" s="524"/>
      <c r="AD17" s="538">
        <v>293</v>
      </c>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ok</v>
      </c>
      <c r="BT17" s="82"/>
      <c r="BU17" s="82" t="str">
        <f t="shared" si="12"/>
        <v>ok</v>
      </c>
      <c r="BV17" s="82"/>
      <c r="BW17" s="82" t="str">
        <f t="shared" si="13"/>
        <v>ok</v>
      </c>
      <c r="BX17" s="82"/>
      <c r="BY17" s="82" t="str">
        <f t="shared" si="14"/>
        <v>ok</v>
      </c>
      <c r="BZ17" s="82"/>
      <c r="CA17" s="82" t="str">
        <f t="shared" si="15"/>
        <v>ok</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v>68</v>
      </c>
      <c r="G21" s="524"/>
      <c r="H21" s="538">
        <v>70.8000030517578</v>
      </c>
      <c r="I21" s="524"/>
      <c r="J21" s="538">
        <v>72</v>
      </c>
      <c r="K21" s="524"/>
      <c r="L21" s="538">
        <v>73.9000015258789</v>
      </c>
      <c r="M21" s="524"/>
      <c r="N21" s="538">
        <v>77.9000015258789</v>
      </c>
      <c r="O21" s="524"/>
      <c r="P21" s="538">
        <v>81.0999984741211</v>
      </c>
      <c r="Q21" s="524"/>
      <c r="R21" s="538">
        <v>83.0999984741211</v>
      </c>
      <c r="S21" s="524"/>
      <c r="T21" s="538">
        <v>85.8000030517578</v>
      </c>
      <c r="U21" s="524"/>
      <c r="V21" s="538">
        <v>88.4000015258789</v>
      </c>
      <c r="W21" s="524"/>
      <c r="X21" s="538">
        <v>90.5999984741211</v>
      </c>
      <c r="Y21" s="524"/>
      <c r="Z21" s="538">
        <v>92.6999969482422</v>
      </c>
      <c r="AA21" s="524"/>
      <c r="AB21" s="538">
        <v>93.5</v>
      </c>
      <c r="AC21" s="524"/>
      <c r="AD21" s="538">
        <v>93.8000030517578</v>
      </c>
      <c r="AE21" s="524"/>
      <c r="AF21" s="538">
        <v>90.52059398386925</v>
      </c>
      <c r="AG21" s="524"/>
      <c r="AH21" s="538">
        <v>90.7117170975491</v>
      </c>
      <c r="AI21" s="524"/>
      <c r="AJ21" s="538">
        <v>91.3798219530663</v>
      </c>
      <c r="AK21" s="524"/>
      <c r="AL21" s="538">
        <v>92.56422644192496</v>
      </c>
      <c r="AM21" s="524"/>
      <c r="AN21" s="538">
        <v>93.40124118429536</v>
      </c>
      <c r="AO21" s="524"/>
      <c r="AP21" s="538">
        <v>93.95046999090924</v>
      </c>
      <c r="AQ21" s="524"/>
      <c r="AR21" s="538">
        <v>94.20495618722579</v>
      </c>
      <c r="AS21" s="524"/>
      <c r="AT21" s="538">
        <v>94.3613706345251</v>
      </c>
      <c r="AU21" s="524"/>
      <c r="AV21" s="538">
        <v>94.49972805009989</v>
      </c>
      <c r="AW21" s="524"/>
      <c r="AY21" s="342"/>
      <c r="AZ21" s="696">
        <v>12</v>
      </c>
      <c r="BA21" s="730" t="s">
        <v>17</v>
      </c>
      <c r="BB21" s="695" t="s">
        <v>262</v>
      </c>
      <c r="BC21" s="81" t="s">
        <v>82</v>
      </c>
      <c r="BD21" s="544"/>
      <c r="BE21" s="79" t="str">
        <f>IF(OR(ISBLANK(F21),ISBLANK(H21)),"N/A",IF(ABS((H21-F21)/F21)&gt;0.25,"&gt; 25%","ok"))</f>
        <v>ok</v>
      </c>
      <c r="BF21" s="544"/>
      <c r="BG21" s="82" t="str">
        <f>IF(OR(ISBLANK(H21),ISBLANK(J21)),"N/A",IF(ABS((J21-H21)/H21)&gt;0.25,"&gt; 25%","ok"))</f>
        <v>ok</v>
      </c>
      <c r="BH21" s="82"/>
      <c r="BI21" s="82" t="str">
        <f>IF(OR(ISBLANK(J21),ISBLANK(L21)),"N/A",IF(ABS(L21-J21)&gt;25,"&gt; 25%","ok"))</f>
        <v>ok</v>
      </c>
      <c r="BJ21" s="82"/>
      <c r="BK21" s="82" t="str">
        <f>IF(OR(ISBLANK(L21),ISBLANK(N21)),"N/A",IF(ABS(N21-L21)&gt;25,"&gt; 25%","ok"))</f>
        <v>ok</v>
      </c>
      <c r="BL21" s="82"/>
      <c r="BM21" s="82" t="str">
        <f>IF(OR(ISBLANK(N21),ISBLANK(P21)),"N/A",IF(ABS(P21-N21)&gt;25,"&gt; 25%","ok"))</f>
        <v>ok</v>
      </c>
      <c r="BN21" s="82"/>
      <c r="BO21" s="82" t="str">
        <f>IF(OR(ISBLANK(P21),ISBLANK(R21)),"N/A",IF(ABS(R21-P21)&gt;25,"&gt; 25%","ok"))</f>
        <v>ok</v>
      </c>
      <c r="BP21" s="82"/>
      <c r="BQ21" s="82" t="str">
        <f>IF(OR(ISBLANK(R21),ISBLANK(T21)),"N/A",IF(ABS(T21-R21)&gt;25,"&gt; 25%","ok"))</f>
        <v>ok</v>
      </c>
      <c r="BR21" s="82"/>
      <c r="BS21" s="82" t="str">
        <f>IF(OR(ISBLANK(T21),ISBLANK(V21)),"N/A",IF(ABS(V21-T21)&gt;25,"&gt; 25%","ok"))</f>
        <v>ok</v>
      </c>
      <c r="BT21" s="82"/>
      <c r="BU21" s="82" t="str">
        <f>IF(OR(ISBLANK(V21),ISBLANK(X21)),"N/A",IF(ABS(X21-V21)&gt;25,"&gt; 25%","ok"))</f>
        <v>ok</v>
      </c>
      <c r="BV21" s="82"/>
      <c r="BW21" s="82" t="str">
        <f>IF(OR(ISBLANK(X21),ISBLANK(Z21)),"N/A",IF(ABS(Z21-X21)&gt;25,"&gt; 25%","ok"))</f>
        <v>ok</v>
      </c>
      <c r="BX21" s="82"/>
      <c r="BY21" s="82" t="str">
        <f>IF(OR(ISBLANK(Z21),ISBLANK(AB21)),"N/A",IF(ABS(AB21-Z21)&gt;25,"&gt; 25%","ok"))</f>
        <v>ok</v>
      </c>
      <c r="BZ21" s="82"/>
      <c r="CA21" s="82" t="str">
        <f>IF(OR(ISBLANK(AB21),ISBLANK(AD21)),"N/A",IF(ABS(AD21-AB21)&gt;25,"&gt; 25%","ok"))</f>
        <v>ok</v>
      </c>
      <c r="CB21" s="82"/>
      <c r="CC21" s="82" t="str">
        <f>IF(OR(ISBLANK(AD21),ISBLANK(AF21)),"N/A",IF(ABS(AF21-AD21)&gt;25,"&gt; 25%","ok"))</f>
        <v>ok</v>
      </c>
      <c r="CD21" s="82"/>
      <c r="CE21" s="82" t="str">
        <f>IF(OR(ISBLANK(AF21),ISBLANK(AH21)),"N/A",IF(ABS((AH21-AF21)/AF21)&gt;0.25,"&gt; 25%","ok"))</f>
        <v>ok</v>
      </c>
      <c r="CF21" s="544"/>
      <c r="CG21" s="82" t="str">
        <f>IF(OR(ISBLANK(AH21),ISBLANK(AJ21)),"N/A",IF(ABS(AJ21-AH21)&gt;25,"&gt; 25%","ok"))</f>
        <v>ok</v>
      </c>
      <c r="CH21" s="82"/>
      <c r="CI21" s="82" t="str">
        <f>IF(OR(ISBLANK(AJ21),ISBLANK(AL21)),"N/A",IF(ABS(AL21-AJ21)&gt;25,"&gt; 25%","ok"))</f>
        <v>ok</v>
      </c>
      <c r="CJ21" s="82"/>
      <c r="CK21" s="82" t="str">
        <f>IF(OR(ISBLANK(AL21),ISBLANK(AN21)),"N/A",IF(ABS(AN21-AL21)&gt;25,"&gt; 25%","ok"))</f>
        <v>ok</v>
      </c>
      <c r="CL21" s="82"/>
      <c r="CM21" s="82" t="str">
        <f t="shared" si="2"/>
        <v>ok</v>
      </c>
      <c r="CN21" s="82"/>
      <c r="CO21" s="82" t="str">
        <f t="shared" si="3"/>
        <v>ok</v>
      </c>
      <c r="CP21" s="82"/>
      <c r="CQ21" s="82" t="str">
        <f t="shared" si="4"/>
        <v>ok</v>
      </c>
      <c r="CR21" s="82"/>
      <c r="CS21" s="82" t="str">
        <f t="shared" si="5"/>
        <v>ok</v>
      </c>
      <c r="CT21" s="82"/>
    </row>
    <row r="22" spans="1:98" s="402" customFormat="1" ht="25.5" customHeight="1">
      <c r="A22" s="343"/>
      <c r="B22" s="212">
        <v>261</v>
      </c>
      <c r="C22" s="226">
        <v>13</v>
      </c>
      <c r="D22" s="223" t="s">
        <v>492</v>
      </c>
      <c r="E22" s="218" t="s">
        <v>262</v>
      </c>
      <c r="F22" s="538"/>
      <c r="G22" s="524"/>
      <c r="H22" s="538">
        <v>84.5999984741211</v>
      </c>
      <c r="I22" s="524"/>
      <c r="J22" s="538">
        <v>85</v>
      </c>
      <c r="K22" s="524"/>
      <c r="L22" s="538">
        <v>85.9000015258789</v>
      </c>
      <c r="M22" s="524"/>
      <c r="N22" s="538">
        <v>87.6999969482422</v>
      </c>
      <c r="O22" s="524"/>
      <c r="P22" s="538">
        <v>89.3000030517578</v>
      </c>
      <c r="Q22" s="524"/>
      <c r="R22" s="538">
        <v>90.9000015258789</v>
      </c>
      <c r="S22" s="524"/>
      <c r="T22" s="538">
        <v>92.8000030517578</v>
      </c>
      <c r="U22" s="524"/>
      <c r="V22" s="538">
        <v>94.8000030517578</v>
      </c>
      <c r="W22" s="524"/>
      <c r="X22" s="538">
        <v>96.4000015258789</v>
      </c>
      <c r="Y22" s="524"/>
      <c r="Z22" s="538">
        <v>97.5</v>
      </c>
      <c r="AA22" s="524"/>
      <c r="AB22" s="538">
        <v>97.8000030517578</v>
      </c>
      <c r="AC22" s="524"/>
      <c r="AD22" s="538">
        <v>98</v>
      </c>
      <c r="AE22" s="524"/>
      <c r="AF22" s="538">
        <v>96.42289735629515</v>
      </c>
      <c r="AG22" s="524"/>
      <c r="AH22" s="538">
        <v>96.30289493563599</v>
      </c>
      <c r="AI22" s="524"/>
      <c r="AJ22" s="538">
        <v>96.40216426148285</v>
      </c>
      <c r="AK22" s="524"/>
      <c r="AL22" s="538">
        <v>96.7069478377127</v>
      </c>
      <c r="AM22" s="524"/>
      <c r="AN22" s="538">
        <v>97.1822735089511</v>
      </c>
      <c r="AO22" s="524"/>
      <c r="AP22" s="538">
        <v>97.49396426860254</v>
      </c>
      <c r="AQ22" s="524"/>
      <c r="AR22" s="538">
        <v>97.71749353701851</v>
      </c>
      <c r="AS22" s="524"/>
      <c r="AT22" s="538">
        <v>97.8838149518835</v>
      </c>
      <c r="AU22" s="524"/>
      <c r="AV22" s="538">
        <v>98.01351854538957</v>
      </c>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ok</v>
      </c>
      <c r="BH22" s="82"/>
      <c r="BI22" s="82" t="str">
        <f>IF(OR(ISBLANK(J22),ISBLANK(L22)),"N/A",IF(ABS(L22-J22)&gt;25,"&gt; 25%","ok"))</f>
        <v>ok</v>
      </c>
      <c r="BJ22" s="82"/>
      <c r="BK22" s="82" t="str">
        <f>IF(OR(ISBLANK(L22),ISBLANK(N22)),"N/A",IF(ABS(N22-L22)&gt;25,"&gt; 25%","ok"))</f>
        <v>ok</v>
      </c>
      <c r="BL22" s="82"/>
      <c r="BM22" s="82" t="str">
        <f>IF(OR(ISBLANK(N22),ISBLANK(P22)),"N/A",IF(ABS(P22-N22)&gt;25,"&gt; 25%","ok"))</f>
        <v>ok</v>
      </c>
      <c r="BN22" s="82"/>
      <c r="BO22" s="82" t="str">
        <f>IF(OR(ISBLANK(P22),ISBLANK(R22)),"N/A",IF(ABS(R22-P22)&gt;25,"&gt; 25%","ok"))</f>
        <v>ok</v>
      </c>
      <c r="BP22" s="82"/>
      <c r="BQ22" s="82" t="str">
        <f>IF(OR(ISBLANK(R22),ISBLANK(T22)),"N/A",IF(ABS(T22-R22)&gt;25,"&gt; 25%","ok"))</f>
        <v>ok</v>
      </c>
      <c r="BR22" s="82"/>
      <c r="BS22" s="82" t="str">
        <f>IF(OR(ISBLANK(T22),ISBLANK(V22)),"N/A",IF(ABS(V22-T22)&gt;25,"&gt; 25%","ok"))</f>
        <v>ok</v>
      </c>
      <c r="BT22" s="82"/>
      <c r="BU22" s="82" t="str">
        <f>IF(OR(ISBLANK(V22),ISBLANK(X22)),"N/A",IF(ABS(X22-V22)&gt;25,"&gt; 25%","ok"))</f>
        <v>ok</v>
      </c>
      <c r="BV22" s="82"/>
      <c r="BW22" s="82" t="str">
        <f>IF(OR(ISBLANK(X22),ISBLANK(Z22)),"N/A",IF(ABS(Z22-X22)&gt;25,"&gt; 25%","ok"))</f>
        <v>ok</v>
      </c>
      <c r="BX22" s="82"/>
      <c r="BY22" s="82" t="str">
        <f>IF(OR(ISBLANK(Z22),ISBLANK(AB22)),"N/A",IF(ABS(AB22-Z22)&gt;25,"&gt; 25%","ok"))</f>
        <v>ok</v>
      </c>
      <c r="BZ22" s="82"/>
      <c r="CA22" s="82" t="str">
        <f>IF(OR(ISBLANK(AB22),ISBLANK(AD22)),"N/A",IF(ABS(AD22-AB22)&gt;25,"&gt; 25%","ok"))</f>
        <v>ok</v>
      </c>
      <c r="CB22" s="82"/>
      <c r="CC22" s="82" t="str">
        <f>IF(OR(ISBLANK(AD22),ISBLANK(AF22)),"N/A",IF(ABS(AF22-AD22)&gt;25,"&gt; 25%","ok"))</f>
        <v>ok</v>
      </c>
      <c r="CD22" s="82"/>
      <c r="CE22" s="82" t="str">
        <f>IF(OR(ISBLANK(AF22),ISBLANK(AH22)),"N/A",IF(ABS((AH22-AF22)/AF22)&gt;0.25,"&gt; 25%","ok"))</f>
        <v>ok</v>
      </c>
      <c r="CF22" s="544"/>
      <c r="CG22" s="82" t="str">
        <f>IF(OR(ISBLANK(AH22),ISBLANK(AJ22)),"N/A",IF(ABS(AJ22-AH22)&gt;25,"&gt; 25%","ok"))</f>
        <v>ok</v>
      </c>
      <c r="CH22" s="82"/>
      <c r="CI22" s="82" t="str">
        <f>IF(OR(ISBLANK(AJ22),ISBLANK(AL22)),"N/A",IF(ABS(AL22-AJ22)&gt;25,"&gt; 25%","ok"))</f>
        <v>ok</v>
      </c>
      <c r="CJ22" s="82"/>
      <c r="CK22" s="82" t="str">
        <f>IF(OR(ISBLANK(AL22),ISBLANK(AN22)),"N/A",IF(ABS(AN22-AL22)&gt;25,"&gt; 25%","ok"))</f>
        <v>ok</v>
      </c>
      <c r="CL22" s="82"/>
      <c r="CM22" s="82" t="str">
        <f>IF(OR(ISBLANK(AN22),ISBLANK(AP22)),"N/A",IF(ABS((AP22-AN22)/AN22)&gt;0.25,"&gt; 25%","ok"))</f>
        <v>ok</v>
      </c>
      <c r="CN22" s="82"/>
      <c r="CO22" s="82" t="str">
        <f t="shared" si="3"/>
        <v>ok</v>
      </c>
      <c r="CP22" s="82"/>
      <c r="CQ22" s="82" t="str">
        <f t="shared" si="4"/>
        <v>ok</v>
      </c>
      <c r="CR22" s="82"/>
      <c r="CS22" s="82" t="str">
        <f t="shared" si="5"/>
        <v>ok</v>
      </c>
      <c r="CT22" s="82"/>
    </row>
    <row r="23" spans="1:98" s="402" customFormat="1" ht="25.5" customHeight="1">
      <c r="A23" s="343"/>
      <c r="B23" s="212">
        <v>262</v>
      </c>
      <c r="C23" s="344">
        <v>14</v>
      </c>
      <c r="D23" s="236" t="s">
        <v>493</v>
      </c>
      <c r="E23" s="234" t="s">
        <v>262</v>
      </c>
      <c r="F23" s="517"/>
      <c r="G23" s="530"/>
      <c r="H23" s="517">
        <v>51.5</v>
      </c>
      <c r="I23" s="530"/>
      <c r="J23" s="517">
        <v>53.7000007629395</v>
      </c>
      <c r="K23" s="530"/>
      <c r="L23" s="517">
        <v>56.7000007629395</v>
      </c>
      <c r="M23" s="530"/>
      <c r="N23" s="517">
        <v>63.5999984741211</v>
      </c>
      <c r="O23" s="530"/>
      <c r="P23" s="517">
        <v>69</v>
      </c>
      <c r="Q23" s="530"/>
      <c r="R23" s="517">
        <v>71.5999984741211</v>
      </c>
      <c r="S23" s="530"/>
      <c r="T23" s="517">
        <v>75.1999969482422</v>
      </c>
      <c r="U23" s="530"/>
      <c r="V23" s="517">
        <v>78.6999969482422</v>
      </c>
      <c r="W23" s="530"/>
      <c r="X23" s="517">
        <v>81.8000030517578</v>
      </c>
      <c r="Y23" s="530"/>
      <c r="Z23" s="517">
        <v>84.9000015258789</v>
      </c>
      <c r="AA23" s="530"/>
      <c r="AB23" s="517">
        <v>86.3000030517578</v>
      </c>
      <c r="AC23" s="530"/>
      <c r="AD23" s="517">
        <v>87</v>
      </c>
      <c r="AE23" s="530"/>
      <c r="AF23" s="517">
        <v>78.91963385528177</v>
      </c>
      <c r="AG23" s="530"/>
      <c r="AH23" s="517">
        <v>79.01120379750834</v>
      </c>
      <c r="AI23" s="530"/>
      <c r="AJ23" s="517">
        <v>79.62329879774845</v>
      </c>
      <c r="AK23" s="530"/>
      <c r="AL23" s="517">
        <v>80.61631108312585</v>
      </c>
      <c r="AM23" s="530"/>
      <c r="AN23" s="517">
        <v>82.59275223444479</v>
      </c>
      <c r="AO23" s="530"/>
      <c r="AP23" s="517">
        <v>83.45258644535107</v>
      </c>
      <c r="AQ23" s="530"/>
      <c r="AR23" s="517">
        <v>83.81726338364555</v>
      </c>
      <c r="AS23" s="530"/>
      <c r="AT23" s="517">
        <v>84.07905062740548</v>
      </c>
      <c r="AU23" s="530"/>
      <c r="AV23" s="517">
        <v>84.32265086740155</v>
      </c>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ok</v>
      </c>
      <c r="BH23" s="80"/>
      <c r="BI23" s="80" t="str">
        <f>IF(OR(ISBLANK(J23),ISBLANK(L23)),"N/A",IF(ABS(L23-J23)&gt;25,"&gt; 25%","ok"))</f>
        <v>ok</v>
      </c>
      <c r="BJ23" s="80"/>
      <c r="BK23" s="80" t="str">
        <f>IF(OR(ISBLANK(L23),ISBLANK(N23)),"N/A",IF(ABS(N23-L23)&gt;25,"&gt; 25%","ok"))</f>
        <v>ok</v>
      </c>
      <c r="BL23" s="80"/>
      <c r="BM23" s="80" t="str">
        <f>IF(OR(ISBLANK(N23),ISBLANK(P23)),"N/A",IF(ABS(P23-N23)&gt;25,"&gt; 25%","ok"))</f>
        <v>ok</v>
      </c>
      <c r="BN23" s="80"/>
      <c r="BO23" s="80" t="str">
        <f>IF(OR(ISBLANK(P23),ISBLANK(R23)),"N/A",IF(ABS(R23-P23)&gt;25,"&gt; 25%","ok"))</f>
        <v>ok</v>
      </c>
      <c r="BP23" s="80"/>
      <c r="BQ23" s="80" t="str">
        <f>IF(OR(ISBLANK(R23),ISBLANK(T23)),"N/A",IF(ABS(T23-R23)&gt;25,"&gt; 25%","ok"))</f>
        <v>ok</v>
      </c>
      <c r="BR23" s="80"/>
      <c r="BS23" s="80" t="str">
        <f>IF(OR(ISBLANK(T23),ISBLANK(V23)),"N/A",IF(ABS(V23-T23)&gt;25,"&gt; 25%","ok"))</f>
        <v>ok</v>
      </c>
      <c r="BT23" s="80"/>
      <c r="BU23" s="80" t="str">
        <f>IF(OR(ISBLANK(V23),ISBLANK(X23)),"N/A",IF(ABS(X23-V23)&gt;25,"&gt; 25%","ok"))</f>
        <v>ok</v>
      </c>
      <c r="BV23" s="80"/>
      <c r="BW23" s="80" t="str">
        <f>IF(OR(ISBLANK(X23),ISBLANK(Z23)),"N/A",IF(ABS(Z23-X23)&gt;25,"&gt; 25%","ok"))</f>
        <v>ok</v>
      </c>
      <c r="BX23" s="80"/>
      <c r="BY23" s="80" t="str">
        <f>IF(OR(ISBLANK(Z23),ISBLANK(AB23)),"N/A",IF(ABS(AB23-Z23)&gt;25,"&gt; 25%","ok"))</f>
        <v>ok</v>
      </c>
      <c r="BZ23" s="80"/>
      <c r="CA23" s="80" t="str">
        <f>IF(OR(ISBLANK(AB23),ISBLANK(AD23)),"N/A",IF(ABS(AD23-AB23)&gt;25,"&gt; 25%","ok"))</f>
        <v>ok</v>
      </c>
      <c r="CB23" s="80"/>
      <c r="CC23" s="80" t="str">
        <f>IF(OR(ISBLANK(AD23),ISBLANK(AF23)),"N/A",IF(ABS(AF23-AD23)&gt;25,"&gt; 25%","ok"))</f>
        <v>ok</v>
      </c>
      <c r="CD23" s="80"/>
      <c r="CE23" s="80" t="str">
        <f>IF(OR(ISBLANK(AF23),ISBLANK(AH23)),"N/A",IF(ABS((AH23-AF23)/AF23)&gt;0.25,"&gt; 25%","ok"))</f>
        <v>ok</v>
      </c>
      <c r="CF23" s="546"/>
      <c r="CG23" s="80" t="str">
        <f>IF(OR(ISBLANK(AH23),ISBLANK(AJ23)),"N/A",IF(ABS(AJ23-AH23)&gt;25,"&gt; 25%","ok"))</f>
        <v>ok</v>
      </c>
      <c r="CH23" s="80"/>
      <c r="CI23" s="80" t="str">
        <f>IF(OR(ISBLANK(AJ23),ISBLANK(AL23)),"N/A",IF(ABS(AL23-AJ23)&gt;25,"&gt; 25%","ok"))</f>
        <v>ok</v>
      </c>
      <c r="CJ23" s="80"/>
      <c r="CK23" s="80" t="str">
        <f>IF(OR(ISBLANK(AL23),ISBLANK(AN23)),"N/A",IF(ABS(AN23-AL23)&gt;25,"&gt; 25%","ok"))</f>
        <v>ok</v>
      </c>
      <c r="CL23" s="80"/>
      <c r="CM23" s="80" t="str">
        <f t="shared" si="2"/>
        <v>ok</v>
      </c>
      <c r="CN23" s="80"/>
      <c r="CO23" s="80" t="str">
        <f t="shared" si="3"/>
        <v>ok</v>
      </c>
      <c r="CP23" s="80"/>
      <c r="CQ23" s="80" t="str">
        <f t="shared" si="4"/>
        <v>ok</v>
      </c>
      <c r="CR23" s="80"/>
      <c r="CS23" s="80" t="str">
        <f t="shared" si="5"/>
        <v>ok</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7" t="s">
        <v>122</v>
      </c>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13330</v>
      </c>
      <c r="BR26" s="81"/>
      <c r="BS26" s="81">
        <f>V10</f>
        <v>13447</v>
      </c>
      <c r="BT26" s="81"/>
      <c r="BU26" s="81">
        <f>X10</f>
        <v>13730</v>
      </c>
      <c r="BV26" s="81"/>
      <c r="BW26" s="81">
        <f>Z10</f>
        <v>13866</v>
      </c>
      <c r="BX26" s="81"/>
      <c r="BY26" s="81">
        <f>AB10</f>
        <v>13973</v>
      </c>
      <c r="BZ26" s="81"/>
      <c r="CA26" s="81">
        <f>AD10</f>
        <v>14647</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7" t="s">
        <v>143</v>
      </c>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13330</v>
      </c>
      <c r="BR27" s="81"/>
      <c r="BS27" s="81">
        <f>V8-V9</f>
        <v>13447</v>
      </c>
      <c r="BT27" s="81"/>
      <c r="BU27" s="81">
        <f>X8-X9</f>
        <v>13730</v>
      </c>
      <c r="BV27" s="81"/>
      <c r="BW27" s="81">
        <f>Z8-Z9</f>
        <v>13865</v>
      </c>
      <c r="BX27" s="81"/>
      <c r="BY27" s="81">
        <f>AB8-AB9</f>
        <v>13973</v>
      </c>
      <c r="BZ27" s="81"/>
      <c r="CA27" s="81">
        <f>AD8-AD9</f>
        <v>14647</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7" t="s">
        <v>625</v>
      </c>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ok</v>
      </c>
      <c r="BR28" s="81"/>
      <c r="BS28" s="81" t="str">
        <f>IF(OR(ISBLANK(V8),ISBLANK(V9),ISBLANK(V10)),"N/A",IF((BS26=BS27),"ok","&lt;&gt;"))</f>
        <v>ok</v>
      </c>
      <c r="BT28" s="81"/>
      <c r="BU28" s="81" t="str">
        <f>IF(OR(ISBLANK(X8),ISBLANK(X9),ISBLANK(X10)),"N/A",IF((BU26=BU27),"ok","&lt;&gt;"))</f>
        <v>ok</v>
      </c>
      <c r="BV28" s="81"/>
      <c r="BW28" s="81" t="str">
        <f>IF(OR(ISBLANK(Z8),ISBLANK(Z9),ISBLANK(Z10)),"N/A",IF((BW26=BW27),"ok","&lt;&gt;"))</f>
        <v>&lt;&gt;</v>
      </c>
      <c r="BX28" s="81"/>
      <c r="BY28" s="81" t="str">
        <f>IF(OR(ISBLANK(AB8),ISBLANK(AB9),ISBLANK(AB10)),"N/A",IF((BY26=BY27),"ok","&lt;&gt;"))</f>
        <v>ok</v>
      </c>
      <c r="BZ28" s="81"/>
      <c r="CA28" s="81" t="str">
        <f>IF(OR(ISBLANK(AD8),ISBLANK(AD9),ISBLANK(AD10)),"N/A",IF((CA26=CA27),"ok","&lt;&gt;"))</f>
        <v>ok</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7" t="s">
        <v>251</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246"/>
      <c r="AW29" s="246"/>
      <c r="AX29" s="246"/>
      <c r="AY29" s="406"/>
      <c r="AZ29" s="261">
        <v>16</v>
      </c>
      <c r="BA29" s="249" t="s">
        <v>570</v>
      </c>
      <c r="BB29" s="81" t="s">
        <v>298</v>
      </c>
      <c r="BC29" s="81">
        <f>SUM(F12:F16)+SUM(F18:F19)</f>
        <v>3610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12663</v>
      </c>
      <c r="BR29" s="81"/>
      <c r="BS29" s="81">
        <f>SUM(V12:V16)+SUM(V18:V19)</f>
        <v>12775</v>
      </c>
      <c r="BT29" s="81"/>
      <c r="BU29" s="81">
        <f>SUM(X12:X16)+SUM(X18:X19)</f>
        <v>13043</v>
      </c>
      <c r="BV29" s="81"/>
      <c r="BW29" s="81">
        <f>SUM(Z12:Z16)+SUM(Z18:Z19)</f>
        <v>13173</v>
      </c>
      <c r="BX29" s="81"/>
      <c r="BY29" s="81">
        <f>SUM(AB12:AB16)+SUM(AB18:AB19)</f>
        <v>13276</v>
      </c>
      <c r="BZ29" s="81"/>
      <c r="CA29" s="81">
        <f>SUM(AD12:AD16)+SUM(AD18:AD19)</f>
        <v>13915</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7" t="s">
        <v>110</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406"/>
      <c r="AZ31" s="275" t="s">
        <v>176</v>
      </c>
      <c r="BA31" s="276" t="s">
        <v>572</v>
      </c>
      <c r="BB31" s="94"/>
      <c r="BC31" s="94" t="str">
        <f>IF(OR(ISBLANK(F21),ISBLANK(F22),ISBLANK(F23)),"N/A",IF(F21&lt;F23,"&lt;&gt;",IF(F21&gt;F22,"&lt;&gt;","ok")))</f>
        <v>N/A</v>
      </c>
      <c r="BD31" s="94"/>
      <c r="BE31" s="94" t="str">
        <f>IF(OR(ISBLANK(H21),ISBLANK(H22),ISBLANK(H23)),"N/A",IF(H21&lt;H23,"&lt;&gt;",IF(H21&gt;H22,"&lt;&gt;","ok")))</f>
        <v>ok</v>
      </c>
      <c r="BF31" s="94"/>
      <c r="BG31" s="94" t="str">
        <f>IF(OR(ISBLANK(J21),ISBLANK(J22),ISBLANK(J23)),"N/A",IF(J21&lt;J23,"&lt;&gt;",IF(J21&gt;J22,"&lt;&gt;","ok")))</f>
        <v>ok</v>
      </c>
      <c r="BH31" s="94"/>
      <c r="BI31" s="94" t="str">
        <f>IF(OR(ISBLANK(L21),ISBLANK(L22),ISBLANK(L23)),"N/A",IF(L21&lt;L23,"&lt;&gt;",IF(L21&gt;L22,"&lt;&gt;","ok")))</f>
        <v>ok</v>
      </c>
      <c r="BJ31" s="94"/>
      <c r="BK31" s="94" t="str">
        <f>IF(OR(ISBLANK(N21),ISBLANK(N22),ISBLANK(N23)),"N/A",IF(N21&lt;N23,"&lt;&gt;",IF(N21&gt;N22,"&lt;&gt;","ok")))</f>
        <v>ok</v>
      </c>
      <c r="BL31" s="94"/>
      <c r="BM31" s="94" t="str">
        <f>IF(OR(ISBLANK(P21),ISBLANK(P22),ISBLANK(P23)),"N/A",IF(P21&lt;P23,"&lt;&gt;",IF(P21&gt;P22,"&lt;&gt;","ok")))</f>
        <v>ok</v>
      </c>
      <c r="BN31" s="94"/>
      <c r="BO31" s="94" t="str">
        <f>IF(OR(ISBLANK(R21),ISBLANK(R22),ISBLANK(R23)),"N/A",IF(R21&lt;R23,"&lt;&gt;",IF(R21&gt;R22,"&lt;&gt;","ok")))</f>
        <v>ok</v>
      </c>
      <c r="BP31" s="94"/>
      <c r="BQ31" s="94" t="str">
        <f>IF(OR(ISBLANK(T21),ISBLANK(T22),ISBLANK(T23)),"N/A",IF(T21&lt;T23,"&lt;&gt;",IF(T21&gt;T22,"&lt;&gt;","ok")))</f>
        <v>ok</v>
      </c>
      <c r="BR31" s="94"/>
      <c r="BS31" s="94" t="str">
        <f>IF(OR(ISBLANK(V21),ISBLANK(V22),ISBLANK(V23)),"N/A",IF(V21&lt;V23,"&lt;&gt;",IF(V21&gt;V22,"&lt;&gt;","ok")))</f>
        <v>ok</v>
      </c>
      <c r="BT31" s="94"/>
      <c r="BU31" s="94" t="str">
        <f>IF(OR(ISBLANK(X21),ISBLANK(X22),ISBLANK(X23)),"N/A",IF(X21&lt;X23,"&lt;&gt;",IF(X21&gt;X22,"&lt;&gt;","ok")))</f>
        <v>ok</v>
      </c>
      <c r="BV31" s="94"/>
      <c r="BW31" s="94" t="str">
        <f>IF(OR(ISBLANK(Z21),ISBLANK(Z22),ISBLANK(Z23)),"N/A",IF(Z21&lt;Z23,"&lt;&gt;",IF(Z21&gt;Z22,"&lt;&gt;","ok")))</f>
        <v>ok</v>
      </c>
      <c r="BX31" s="94"/>
      <c r="BY31" s="94" t="str">
        <f>IF(OR(ISBLANK(AB21),ISBLANK(AB22),ISBLANK(AB23)),"N/A",IF(AB21&lt;AB23,"&lt;&gt;",IF(AB21&gt;AB22,"&lt;&gt;","ok")))</f>
        <v>ok</v>
      </c>
      <c r="BZ31" s="94"/>
      <c r="CA31" s="94" t="str">
        <f>IF(OR(ISBLANK(AD21),ISBLANK(AD22),ISBLANK(AD23)),"N/A",IF(AD21&lt;AD23,"&lt;&gt;",IF(AD21&gt;AD22,"&lt;&gt;","ok")))</f>
        <v>ok</v>
      </c>
      <c r="CB31" s="94"/>
      <c r="CC31" s="94" t="str">
        <f>IF(OR(ISBLANK(AF21),ISBLANK(AF22),ISBLANK(AF23)),"N/A",IF(AF21&lt;AF23,"&lt;&gt;",IF(AF21&gt;AF22,"&lt;&gt;","ok")))</f>
        <v>ok</v>
      </c>
      <c r="CD31" s="94"/>
      <c r="CE31" s="94" t="str">
        <f>IF(OR(ISBLANK(AH21),ISBLANK(AH22),ISBLANK(AH23)),"N/A",IF(AH21&lt;AH23,"&lt;&gt;",IF(AH21&gt;AH22,"&lt;&gt;","ok")))</f>
        <v>ok</v>
      </c>
      <c r="CF31" s="94"/>
      <c r="CG31" s="94" t="str">
        <f>IF(OR(ISBLANK(AJ21),ISBLANK(AJ22),ISBLANK(AJ23)),"N/A",IF(AJ21&lt;AJ23,"&lt;&gt;",IF(AJ21&gt;AJ22,"&lt;&gt;","ok")))</f>
        <v>ok</v>
      </c>
      <c r="CH31" s="94"/>
      <c r="CI31" s="94" t="str">
        <f>IF(OR(ISBLANK(AL21),ISBLANK(AL22),ISBLANK(AL23)),"N/A",IF(AL21&lt;AL23,"&lt;&gt;",IF(AL21&gt;AL22,"&lt;&gt;","ok")))</f>
        <v>ok</v>
      </c>
      <c r="CJ31" s="94"/>
      <c r="CK31" s="94" t="str">
        <f>IF(OR(ISBLANK(AN21),ISBLANK(AN22),ISBLANK(AN23)),"N/A",IF(AN21&lt;AN23,"&lt;&gt;",IF(AN21&gt;AN22,"&lt;&gt;","ok")))</f>
        <v>ok</v>
      </c>
      <c r="CL31" s="94"/>
      <c r="CM31" s="94" t="str">
        <f>IF(OR(ISBLANK(AP21),ISBLANK(AP22),ISBLANK(AP23)),"N/A",IF(AP21&lt;AP23,"&lt;&gt;",IF(AP21&gt;AP22,"&lt;&gt;","ok")))</f>
        <v>ok</v>
      </c>
      <c r="CN31" s="94"/>
      <c r="CO31" s="94" t="str">
        <f>IF(OR(ISBLANK(AR21),ISBLANK(AR22),ISBLANK(AR23)),"N/A",IF(AR21&lt;AR23,"&lt;&gt;",IF(AR21&gt;AR22,"&lt;&gt;","ok")))</f>
        <v>ok</v>
      </c>
      <c r="CP31" s="94"/>
      <c r="CQ31" s="94" t="str">
        <f>IF(OR(ISBLANK(AT21),ISBLANK(AT22),ISBLANK(AT23)),"N/A",IF(AT21&lt;AT23,"&lt;&gt;",IF(AT21&gt;AT22,"&lt;&gt;","ok")))</f>
        <v>ok</v>
      </c>
      <c r="CR31" s="94"/>
      <c r="CS31" s="94" t="str">
        <f>IF(OR(ISBLANK(AV21),ISBLANK(AV22),ISBLANK(AV23)),"N/A",IF(AV21&lt;AV23,"&lt;&gt;",IF(AV21&gt;AV22,"&lt;&gt;","ok")))</f>
        <v>ok</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8" t="str">
        <f>D12&amp;" (W3,4)"</f>
        <v>Households (W3,4)</v>
      </c>
      <c r="V32" s="889"/>
      <c r="W32" s="889"/>
      <c r="X32" s="889"/>
      <c r="Y32" s="889"/>
      <c r="Z32" s="889"/>
      <c r="AA32" s="889"/>
      <c r="AB32" s="890"/>
      <c r="AC32" s="252"/>
      <c r="AD32" s="252"/>
      <c r="AE32" s="252"/>
      <c r="AF32" s="252"/>
      <c r="AG32" s="252"/>
      <c r="AH32" s="252"/>
      <c r="AI32" s="252"/>
      <c r="AJ32" s="252"/>
      <c r="AK32" s="252"/>
      <c r="AL32" s="803"/>
      <c r="AM32" s="803"/>
      <c r="AN32" s="803"/>
      <c r="AO32" s="803"/>
      <c r="AP32" s="803"/>
      <c r="AQ32" s="803"/>
      <c r="AR32" s="803"/>
      <c r="AS32" s="803"/>
      <c r="AT32" s="803"/>
      <c r="AU32" s="80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9" t="str">
        <f>LEFT(D10,LEN(D10)-25)&amp;" (W3,3)"</f>
        <v>Net freshwater supplied by water supply industry (ISIC 36)   (W3,3)</v>
      </c>
      <c r="L33" s="880"/>
      <c r="M33" s="880"/>
      <c r="N33" s="881"/>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6" t="str">
        <f>D8&amp;" (W3, 1)"</f>
        <v>Gross freshwater supplied by water supply industry (ISIC 36) (W3, 1)</v>
      </c>
      <c r="E34" s="253"/>
      <c r="F34" s="558"/>
      <c r="G34" s="558"/>
      <c r="H34" s="558"/>
      <c r="I34" s="558"/>
      <c r="J34" s="558"/>
      <c r="K34" s="882"/>
      <c r="L34" s="883"/>
      <c r="M34" s="883"/>
      <c r="N34" s="884"/>
      <c r="O34" s="558"/>
      <c r="P34" s="896" t="s">
        <v>16</v>
      </c>
      <c r="Q34" s="896"/>
      <c r="R34" s="558"/>
      <c r="S34" s="558"/>
      <c r="T34" s="558"/>
      <c r="U34" s="888" t="str">
        <f>D13&amp;" (W3,5)"</f>
        <v>Agriculture, forestry and fishing (ISIC 01-03) (W3,5)</v>
      </c>
      <c r="V34" s="889"/>
      <c r="W34" s="889"/>
      <c r="X34" s="889"/>
      <c r="Y34" s="889"/>
      <c r="Z34" s="889"/>
      <c r="AA34" s="889"/>
      <c r="AB34" s="890"/>
      <c r="AC34" s="254"/>
      <c r="AD34" s="253"/>
      <c r="AE34" s="554"/>
      <c r="AF34" s="554"/>
      <c r="AG34" s="413"/>
      <c r="AH34" s="899"/>
      <c r="AI34" s="899"/>
      <c r="AJ34" s="252"/>
      <c r="AK34" s="252"/>
      <c r="AL34" s="803"/>
      <c r="AM34" s="803"/>
      <c r="AN34" s="803"/>
      <c r="AO34" s="803"/>
      <c r="AP34" s="803"/>
      <c r="AQ34" s="803"/>
      <c r="AR34" s="803"/>
      <c r="AS34" s="803"/>
      <c r="AT34" s="803"/>
      <c r="AU34" s="80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7"/>
      <c r="E35" s="558"/>
      <c r="F35" s="558"/>
      <c r="G35" s="558"/>
      <c r="H35" s="558"/>
      <c r="I35" s="558"/>
      <c r="J35" s="558"/>
      <c r="K35" s="882"/>
      <c r="L35" s="883"/>
      <c r="M35" s="883"/>
      <c r="N35" s="884"/>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7"/>
      <c r="E36" s="558"/>
      <c r="F36" s="558"/>
      <c r="G36" s="558"/>
      <c r="H36" s="558"/>
      <c r="I36" s="558"/>
      <c r="J36" s="558"/>
      <c r="K36" s="882"/>
      <c r="L36" s="883"/>
      <c r="M36" s="883"/>
      <c r="N36" s="884"/>
      <c r="O36" s="558"/>
      <c r="P36" s="558"/>
      <c r="Q36" s="558"/>
      <c r="R36" s="558"/>
      <c r="S36" s="558"/>
      <c r="T36" s="558"/>
      <c r="U36" s="888" t="str">
        <f>D14&amp;" (W3,6)"</f>
        <v>Mining and quarrying (ISIC 05-09) (W3,6)</v>
      </c>
      <c r="V36" s="889"/>
      <c r="W36" s="889"/>
      <c r="X36" s="889"/>
      <c r="Y36" s="889"/>
      <c r="Z36" s="889"/>
      <c r="AA36" s="889"/>
      <c r="AB36" s="89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7"/>
      <c r="E37" s="558"/>
      <c r="F37" s="558"/>
      <c r="G37" s="558"/>
      <c r="H37" s="558"/>
      <c r="I37" s="558"/>
      <c r="J37" s="558"/>
      <c r="K37" s="882"/>
      <c r="L37" s="883"/>
      <c r="M37" s="883"/>
      <c r="N37" s="884"/>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8"/>
      <c r="E38" s="558"/>
      <c r="F38" s="558"/>
      <c r="G38" s="558"/>
      <c r="H38" s="558"/>
      <c r="I38" s="558"/>
      <c r="J38" s="558"/>
      <c r="K38" s="885"/>
      <c r="L38" s="886"/>
      <c r="M38" s="886"/>
      <c r="N38" s="887"/>
      <c r="O38" s="558"/>
      <c r="P38" s="558"/>
      <c r="Q38" s="558"/>
      <c r="R38" s="558"/>
      <c r="S38" s="558"/>
      <c r="T38" s="558"/>
      <c r="U38" s="888" t="str">
        <f>D15&amp;" (W3,7)"</f>
        <v>Manufacturing (ISIC 10-33) (W3,7)</v>
      </c>
      <c r="V38" s="889"/>
      <c r="W38" s="889"/>
      <c r="X38" s="889"/>
      <c r="Y38" s="889"/>
      <c r="Z38" s="889"/>
      <c r="AA38" s="889"/>
      <c r="AB38" s="890"/>
      <c r="AC38" s="254"/>
      <c r="AD38" s="554"/>
      <c r="AE38" s="554"/>
      <c r="AF38" s="554"/>
      <c r="AG38" s="252"/>
      <c r="AH38" s="252"/>
      <c r="AI38" s="252"/>
      <c r="AJ38" s="252"/>
      <c r="AK38" s="252"/>
      <c r="AL38" s="803"/>
      <c r="AM38" s="803"/>
      <c r="AN38" s="803"/>
      <c r="AO38" s="803"/>
      <c r="AP38" s="803"/>
      <c r="AQ38" s="803"/>
      <c r="AR38" s="803"/>
      <c r="AS38" s="803"/>
      <c r="AT38" s="803"/>
      <c r="AU38" s="80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8" t="str">
        <f>D16&amp;" (W3,8)"</f>
        <v>Electricity, gas, steam and air conditioning supply  (ISIC 35) (W3,8)</v>
      </c>
      <c r="V40" s="889"/>
      <c r="W40" s="889"/>
      <c r="X40" s="889"/>
      <c r="Y40" s="889"/>
      <c r="Z40" s="889"/>
      <c r="AA40" s="889"/>
      <c r="AB40" s="89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8" t="str">
        <f>D18&amp;" (W3,10)"</f>
        <v>Construction (ISIC 41-43) (W3,10)</v>
      </c>
      <c r="V42" s="889"/>
      <c r="W42" s="889"/>
      <c r="X42" s="889"/>
      <c r="Y42" s="889"/>
      <c r="Z42" s="889"/>
      <c r="AA42" s="889"/>
      <c r="AB42" s="89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9" t="str">
        <f>D9&amp;" (W3, 2)"</f>
        <v>Losses during transport by ISIC 36 (W3, 2)</v>
      </c>
      <c r="F43" s="891"/>
      <c r="G43" s="891"/>
      <c r="H43" s="892"/>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3"/>
      <c r="F44" s="894"/>
      <c r="G44" s="894"/>
      <c r="H44" s="895"/>
      <c r="I44" s="255"/>
      <c r="J44" s="255"/>
      <c r="K44" s="255"/>
      <c r="L44" s="255"/>
      <c r="M44" s="255"/>
      <c r="N44" s="255"/>
      <c r="O44" s="255"/>
      <c r="P44" s="255"/>
      <c r="Q44" s="255"/>
      <c r="R44" s="255"/>
      <c r="S44" s="255"/>
      <c r="T44" s="255"/>
      <c r="U44" s="888" t="str">
        <f>D19&amp;" (W3,11)"</f>
        <v>Other economic activities (W3,11)</v>
      </c>
      <c r="V44" s="889"/>
      <c r="W44" s="889"/>
      <c r="X44" s="889"/>
      <c r="Y44" s="889"/>
      <c r="Z44" s="889"/>
      <c r="AA44" s="889"/>
      <c r="AB44" s="89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1</v>
      </c>
      <c r="B49" s="163">
        <v>519</v>
      </c>
      <c r="C49" s="484" t="s">
        <v>646</v>
      </c>
      <c r="D49" s="828" t="s">
        <v>648</v>
      </c>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421"/>
      <c r="AZ49" s="418"/>
    </row>
    <row r="50" spans="3:52"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421"/>
      <c r="AZ50" s="418"/>
    </row>
    <row r="51" spans="3:52"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s="421"/>
      <c r="AZ51" s="418"/>
    </row>
    <row r="52" spans="3:52"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s="421"/>
      <c r="AZ52" s="418"/>
    </row>
    <row r="53" spans="3:52"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Y53" s="421"/>
      <c r="AZ53" s="418"/>
    </row>
    <row r="54" spans="3:52"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Y54" s="421"/>
      <c r="AZ54" s="418"/>
    </row>
    <row r="55" spans="3:52"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Y55" s="421"/>
      <c r="AZ55" s="418"/>
    </row>
    <row r="56" spans="3:97"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5"/>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s="421"/>
      <c r="CT59" s="382"/>
    </row>
    <row r="60" spans="3:51"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c r="AY60" s="421"/>
    </row>
    <row r="61" spans="3:51"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Y61" s="421"/>
    </row>
    <row r="62" spans="3:51"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Y62" s="421"/>
    </row>
    <row r="63" spans="3:51"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s="421"/>
    </row>
    <row r="64" spans="3:51"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21"/>
    </row>
    <row r="65" spans="3:51"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s="421"/>
    </row>
    <row r="66" spans="3:51"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21"/>
    </row>
    <row r="67" spans="3:51" ht="18" customHeight="1">
      <c r="C67" s="484"/>
      <c r="D67" s="805"/>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7"/>
      <c r="AY67" s="421"/>
    </row>
    <row r="68" spans="3:51"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c r="AY68" s="421"/>
    </row>
    <row r="69" spans="3:51" ht="18" customHeight="1">
      <c r="C69" s="521"/>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c r="AY69" s="421"/>
    </row>
    <row r="70" spans="3:51" ht="18" customHeight="1">
      <c r="C70" s="519"/>
      <c r="D70" s="810"/>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2.33203125" style="162" hidden="1" customWidth="1"/>
    <col min="2" max="2" width="6.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710</v>
      </c>
      <c r="C3" s="299" t="s">
        <v>296</v>
      </c>
      <c r="D3" s="29" t="s">
        <v>456</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2" t="s">
        <v>207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v>2128</v>
      </c>
      <c r="AM16" s="525"/>
      <c r="AN16" s="539">
        <v>2160</v>
      </c>
      <c r="AO16" s="525"/>
      <c r="AP16" s="539"/>
      <c r="AQ16" s="525"/>
      <c r="AR16" s="539">
        <v>2236</v>
      </c>
      <c r="AS16" s="525" t="s">
        <v>646</v>
      </c>
      <c r="AT16" s="539">
        <v>2269</v>
      </c>
      <c r="AU16" s="525"/>
      <c r="AV16" s="539">
        <v>2336</v>
      </c>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ok</v>
      </c>
      <c r="CL16" s="81"/>
      <c r="CM16" s="96" t="str">
        <f t="shared" si="15"/>
        <v>N/A</v>
      </c>
      <c r="CN16" s="113"/>
      <c r="CO16" s="96" t="str">
        <f t="shared" si="16"/>
        <v>N/A</v>
      </c>
      <c r="CP16" s="113"/>
      <c r="CQ16" s="96" t="str">
        <f t="shared" si="17"/>
        <v>ok</v>
      </c>
      <c r="CR16" s="113"/>
      <c r="CS16" s="96" t="str">
        <f t="shared" si="18"/>
        <v>ok</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v>6069.944</v>
      </c>
      <c r="AM17" s="525"/>
      <c r="AN17" s="539">
        <v>6069.944</v>
      </c>
      <c r="AO17" s="525"/>
      <c r="AP17" s="539"/>
      <c r="AQ17" s="525"/>
      <c r="AR17" s="539">
        <v>5845</v>
      </c>
      <c r="AS17" s="525" t="s">
        <v>647</v>
      </c>
      <c r="AT17" s="539">
        <v>6082</v>
      </c>
      <c r="AU17" s="525"/>
      <c r="AV17" s="539">
        <v>6082</v>
      </c>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ok</v>
      </c>
      <c r="CL17" s="81"/>
      <c r="CM17" s="96" t="str">
        <f t="shared" si="15"/>
        <v>N/A</v>
      </c>
      <c r="CN17" s="113"/>
      <c r="CO17" s="96" t="str">
        <f t="shared" si="16"/>
        <v>N/A</v>
      </c>
      <c r="CP17" s="113"/>
      <c r="CQ17" s="96" t="str">
        <f t="shared" si="17"/>
        <v>ok</v>
      </c>
      <c r="CR17" s="113"/>
      <c r="CS17" s="96" t="str">
        <f t="shared" si="18"/>
        <v>ok</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v>440.343</v>
      </c>
      <c r="AM18" s="525"/>
      <c r="AN18" s="539">
        <v>440.343</v>
      </c>
      <c r="AO18" s="525"/>
      <c r="AP18" s="539"/>
      <c r="AQ18" s="525"/>
      <c r="AR18" s="539">
        <v>204</v>
      </c>
      <c r="AS18" s="525" t="s">
        <v>647</v>
      </c>
      <c r="AT18" s="539">
        <v>2068</v>
      </c>
      <c r="AU18" s="525"/>
      <c r="AV18" s="539">
        <v>2068</v>
      </c>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ok</v>
      </c>
      <c r="CL18" s="81"/>
      <c r="CM18" s="96" t="str">
        <f t="shared" si="15"/>
        <v>N/A</v>
      </c>
      <c r="CN18" s="113"/>
      <c r="CO18" s="96" t="str">
        <f t="shared" si="16"/>
        <v>N/A</v>
      </c>
      <c r="CP18" s="113"/>
      <c r="CQ18" s="96" t="str">
        <f t="shared" si="17"/>
        <v>&gt; 25%</v>
      </c>
      <c r="CR18" s="113"/>
      <c r="CS18" s="96" t="str">
        <f t="shared" si="18"/>
        <v>ok</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v>1844.816</v>
      </c>
      <c r="AM19" s="525"/>
      <c r="AN19" s="539">
        <v>1844.816</v>
      </c>
      <c r="AO19" s="525"/>
      <c r="AP19" s="539"/>
      <c r="AQ19" s="525"/>
      <c r="AR19" s="539">
        <v>1962</v>
      </c>
      <c r="AS19" s="525" t="s">
        <v>647</v>
      </c>
      <c r="AT19" s="539">
        <v>2007</v>
      </c>
      <c r="AU19" s="525"/>
      <c r="AV19" s="539">
        <v>2007</v>
      </c>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ok</v>
      </c>
      <c r="CL19" s="81"/>
      <c r="CM19" s="96" t="str">
        <f t="shared" si="15"/>
        <v>N/A</v>
      </c>
      <c r="CN19" s="113"/>
      <c r="CO19" s="96" t="str">
        <f t="shared" si="16"/>
        <v>N/A</v>
      </c>
      <c r="CP19" s="113"/>
      <c r="CQ19" s="96" t="str">
        <f t="shared" si="17"/>
        <v>ok</v>
      </c>
      <c r="CR19" s="113"/>
      <c r="CS19" s="96" t="str">
        <f t="shared" si="18"/>
        <v>ok</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v>3784.785</v>
      </c>
      <c r="AM20" s="525"/>
      <c r="AN20" s="539">
        <v>3784.785</v>
      </c>
      <c r="AO20" s="525"/>
      <c r="AP20" s="539"/>
      <c r="AQ20" s="525"/>
      <c r="AR20" s="539">
        <v>3679</v>
      </c>
      <c r="AS20" s="525" t="s">
        <v>647</v>
      </c>
      <c r="AT20" s="539">
        <v>2007</v>
      </c>
      <c r="AU20" s="525"/>
      <c r="AV20" s="539">
        <v>2007</v>
      </c>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ok</v>
      </c>
      <c r="CL20" s="81"/>
      <c r="CM20" s="96" t="str">
        <f t="shared" si="15"/>
        <v>N/A</v>
      </c>
      <c r="CN20" s="113"/>
      <c r="CO20" s="96" t="str">
        <f t="shared" si="16"/>
        <v>N/A</v>
      </c>
      <c r="CP20" s="113"/>
      <c r="CQ20" s="96" t="str">
        <f t="shared" si="17"/>
        <v>&gt; 25%</v>
      </c>
      <c r="CR20" s="113"/>
      <c r="CS20" s="96" t="str">
        <f t="shared" si="18"/>
        <v>ok</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v>1702.78</v>
      </c>
      <c r="AM21" s="525"/>
      <c r="AN21" s="539">
        <v>1702.78</v>
      </c>
      <c r="AO21" s="525"/>
      <c r="AP21" s="539"/>
      <c r="AQ21" s="525"/>
      <c r="AR21" s="539">
        <v>1277</v>
      </c>
      <c r="AS21" s="525"/>
      <c r="AT21" s="539">
        <v>1118</v>
      </c>
      <c r="AU21" s="525"/>
      <c r="AV21" s="539">
        <v>1118</v>
      </c>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ok</v>
      </c>
      <c r="CL21" s="81"/>
      <c r="CM21" s="96" t="str">
        <f t="shared" si="15"/>
        <v>N/A</v>
      </c>
      <c r="CN21" s="113"/>
      <c r="CO21" s="96" t="str">
        <f t="shared" si="16"/>
        <v>N/A</v>
      </c>
      <c r="CP21" s="113"/>
      <c r="CQ21" s="96" t="str">
        <f t="shared" si="17"/>
        <v>ok</v>
      </c>
      <c r="CR21" s="113"/>
      <c r="CS21" s="96" t="str">
        <f t="shared" si="18"/>
        <v>ok</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v>13</v>
      </c>
      <c r="AS22" s="525"/>
      <c r="AT22" s="539">
        <v>380</v>
      </c>
      <c r="AU22" s="525"/>
      <c r="AV22" s="539">
        <v>380</v>
      </c>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&gt; 25%</v>
      </c>
      <c r="CR22" s="113"/>
      <c r="CS22" s="96" t="str">
        <f t="shared" si="18"/>
        <v>ok</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v>1162</v>
      </c>
      <c r="AS23" s="525"/>
      <c r="AT23" s="539">
        <v>369</v>
      </c>
      <c r="AU23" s="525"/>
      <c r="AV23" s="539">
        <v>369</v>
      </c>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&gt; 25%</v>
      </c>
      <c r="CR23" s="114"/>
      <c r="CS23" s="96" t="str">
        <f t="shared" si="18"/>
        <v>ok</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v>103</v>
      </c>
      <c r="AS24" s="525"/>
      <c r="AT24" s="539">
        <v>369</v>
      </c>
      <c r="AU24" s="525"/>
      <c r="AV24" s="539">
        <v>369</v>
      </c>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&gt; 25%</v>
      </c>
      <c r="CR24" s="114"/>
      <c r="CS24" s="96" t="str">
        <f t="shared" si="18"/>
        <v>ok</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7" t="s">
        <v>254</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7" t="s">
        <v>143</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7" t="s">
        <v>110</v>
      </c>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2128</v>
      </c>
      <c r="CJ32" s="81"/>
      <c r="CK32" s="81">
        <f>SUM(AN9:AN12)+SUM(AN14:AN16)</f>
        <v>2160</v>
      </c>
      <c r="CL32" s="81"/>
      <c r="CM32" s="81">
        <f>SUM(AP9:AP12)+SUM(AP14:AP16)</f>
        <v>0</v>
      </c>
      <c r="CN32" s="81"/>
      <c r="CO32" s="81">
        <f>SUM(AR9:AR12)+SUM(AR14:AR16)</f>
        <v>2236</v>
      </c>
      <c r="CP32" s="81"/>
      <c r="CQ32" s="81">
        <f>SUM(AT9:AT12)+SUM(AT14:AT16)</f>
        <v>2269</v>
      </c>
      <c r="CR32" s="81"/>
      <c r="CS32" s="81">
        <f>SUM(AV9:AV12)+SUM(AV14:AV16)</f>
        <v>2336</v>
      </c>
      <c r="CT32" s="81"/>
      <c r="CU32" s="250"/>
      <c r="CV32" s="250"/>
    </row>
    <row r="33" spans="1:98" ht="13.5" customHeight="1">
      <c r="A33" s="247"/>
      <c r="B33" s="247"/>
      <c r="C33" s="245"/>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48"/>
      <c r="AK34" s="448"/>
      <c r="AL34" s="448"/>
      <c r="AM34" s="803"/>
      <c r="AN34" s="803"/>
      <c r="AO34" s="803"/>
      <c r="AP34" s="803"/>
      <c r="AQ34" s="803"/>
      <c r="AR34" s="803"/>
      <c r="AS34" s="803"/>
      <c r="AT34" s="80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7772.724</v>
      </c>
      <c r="CJ34" s="81"/>
      <c r="CK34" s="81">
        <f>AN17+AN21+AN25+AN26</f>
        <v>7772.724</v>
      </c>
      <c r="CL34" s="81"/>
      <c r="CM34" s="81">
        <f>AP17+AP21+AP25+AP26</f>
        <v>0</v>
      </c>
      <c r="CN34" s="81"/>
      <c r="CO34" s="81">
        <f>AR17+AR21+AR25+AR26</f>
        <v>7122</v>
      </c>
      <c r="CP34" s="81"/>
      <c r="CQ34" s="81">
        <f>AT17+AT21+AT25+AT26</f>
        <v>7200</v>
      </c>
      <c r="CR34" s="81"/>
      <c r="CS34" s="81">
        <f>AV17+AV21+AV25+AV26</f>
        <v>7200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3" t="str">
        <f>D8&amp;" (W4,1)"</f>
        <v>Total wastewater generated (W4,1)</v>
      </c>
      <c r="K38" s="891"/>
      <c r="L38" s="891"/>
      <c r="M38" s="891"/>
      <c r="N38" s="892"/>
      <c r="O38" s="248"/>
      <c r="P38" s="248"/>
      <c r="Q38" s="248"/>
      <c r="R38" s="248"/>
      <c r="S38" s="248"/>
      <c r="T38" s="248"/>
      <c r="U38" s="900" t="str">
        <f>D21&amp;" (W4,14)"</f>
        <v>Wastewater treated in other treatment plants (W4,14)</v>
      </c>
      <c r="V38" s="901"/>
      <c r="W38" s="901"/>
      <c r="X38" s="901"/>
      <c r="Y38" s="901"/>
      <c r="Z38" s="901"/>
      <c r="AA38" s="901"/>
      <c r="AB38" s="902"/>
      <c r="AC38" s="559"/>
      <c r="AD38" s="559"/>
      <c r="AE38" s="559"/>
      <c r="AF38" s="559"/>
      <c r="AG38" s="559"/>
      <c r="AH38" s="248"/>
      <c r="AI38" s="451"/>
      <c r="AJ38" s="451"/>
      <c r="AK38" s="451"/>
      <c r="AL38" s="451"/>
      <c r="AM38" s="803"/>
      <c r="AN38" s="803"/>
      <c r="AO38" s="803"/>
      <c r="AP38" s="803"/>
      <c r="AQ38" s="803"/>
      <c r="AR38" s="803"/>
      <c r="AS38" s="803"/>
      <c r="AT38" s="80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6069.944</v>
      </c>
      <c r="CJ38" s="81"/>
      <c r="CK38" s="81">
        <f>AN17</f>
        <v>6069.944</v>
      </c>
      <c r="CL38" s="81"/>
      <c r="CM38" s="81">
        <f>AP17</f>
        <v>0</v>
      </c>
      <c r="CN38" s="81"/>
      <c r="CO38" s="81">
        <f>AR17</f>
        <v>5845</v>
      </c>
      <c r="CP38" s="81"/>
      <c r="CQ38" s="81">
        <f>AT17</f>
        <v>6082</v>
      </c>
      <c r="CR38" s="81"/>
      <c r="CS38" s="81">
        <f>AV17</f>
        <v>6082</v>
      </c>
      <c r="CT38" s="81"/>
      <c r="CU38" s="250"/>
      <c r="CV38" s="250"/>
      <c r="CW38" s="250"/>
      <c r="CX38" s="250"/>
      <c r="CY38" s="250"/>
      <c r="CZ38" s="250"/>
      <c r="DA38" s="250"/>
      <c r="DB38" s="250"/>
    </row>
    <row r="39" spans="1:106" ht="9" customHeight="1">
      <c r="A39" s="247"/>
      <c r="B39" s="247"/>
      <c r="C39" s="245"/>
      <c r="D39" s="449"/>
      <c r="E39" s="248"/>
      <c r="F39" s="248"/>
      <c r="G39" s="248"/>
      <c r="H39" s="248"/>
      <c r="I39" s="248"/>
      <c r="J39" s="904"/>
      <c r="K39" s="905"/>
      <c r="L39" s="905"/>
      <c r="M39" s="905"/>
      <c r="N39" s="906"/>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4"/>
      <c r="K40" s="905"/>
      <c r="L40" s="905"/>
      <c r="M40" s="905"/>
      <c r="N40" s="906"/>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3"/>
      <c r="AN40" s="803"/>
      <c r="AO40" s="803"/>
      <c r="AP40" s="803"/>
      <c r="AQ40" s="803"/>
      <c r="AR40" s="803"/>
      <c r="AS40" s="803"/>
      <c r="AT40" s="80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6069.9439999999995</v>
      </c>
      <c r="CJ40" s="81"/>
      <c r="CK40" s="81">
        <f>SUM(AN18:AN20)</f>
        <v>6069.9439999999995</v>
      </c>
      <c r="CL40" s="81"/>
      <c r="CM40" s="81">
        <f>SUM(AP18:AP20)</f>
        <v>0</v>
      </c>
      <c r="CN40" s="81"/>
      <c r="CO40" s="81">
        <f>SUM(AR18:AR20)</f>
        <v>5845</v>
      </c>
      <c r="CP40" s="81"/>
      <c r="CQ40" s="81">
        <f>SUM(AT18:AT20)</f>
        <v>6082</v>
      </c>
      <c r="CR40" s="81"/>
      <c r="CS40" s="81">
        <f>SUM(AV18:AV20)</f>
        <v>6082</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3"/>
      <c r="K41" s="894"/>
      <c r="L41" s="894"/>
      <c r="M41" s="894"/>
      <c r="N41" s="895"/>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0" t="str">
        <f>D25&amp;" (W4,18)"</f>
        <v>Wastewater treated in independent treatment facilities (W4,18)</v>
      </c>
      <c r="V42" s="901"/>
      <c r="W42" s="901"/>
      <c r="X42" s="901"/>
      <c r="Y42" s="901"/>
      <c r="Z42" s="901"/>
      <c r="AA42" s="901"/>
      <c r="AB42" s="902"/>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ok</v>
      </c>
      <c r="CJ42" s="81"/>
      <c r="CK42" s="81" t="str">
        <f>IF(OR(ISBLANK(AN17),ISBLANK(AN18),ISBLANK(AN19),ISBLANK(AN20)),"N/A",IF((CK38=CK40),"ok","&lt;&gt;"))</f>
        <v>ok</v>
      </c>
      <c r="CL42" s="81"/>
      <c r="CM42" s="81" t="str">
        <f>IF(OR(ISBLANK(AP17),ISBLANK(AP18),ISBLANK(AP19),ISBLANK(AP20)),"N/A",IF((CM38=CM40),"ok","&lt;&gt;"))</f>
        <v>N/A</v>
      </c>
      <c r="CN42" s="81"/>
      <c r="CO42" s="81" t="str">
        <f>IF(OR(ISBLANK(AR17),ISBLANK(AR18),ISBLANK(AR19),ISBLANK(AR20)),"N/A",IF((CO38=CO40),"ok","&lt;&gt;"))</f>
        <v>ok</v>
      </c>
      <c r="CP42" s="81"/>
      <c r="CQ42" s="81" t="str">
        <f>IF(OR(ISBLANK(AT17),ISBLANK(AT18),ISBLANK(AT19),ISBLANK(AT20)),"N/A",IF((CQ38=CQ40),"ok","&lt;&gt;"))</f>
        <v>ok</v>
      </c>
      <c r="CR42" s="81"/>
      <c r="CS42" s="81" t="str">
        <f>IF(OR(ISBLANK(AV17),ISBLANK(AV18),ISBLANK(AV19),ISBLANK(AV20)),"N/A",IF((CS38=CS40),"ok","&lt;&gt;"))</f>
        <v>ok</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3"/>
      <c r="AN44" s="803"/>
      <c r="AO44" s="803"/>
      <c r="AP44" s="803"/>
      <c r="AQ44" s="803"/>
      <c r="AR44" s="803"/>
      <c r="AS44" s="803"/>
      <c r="AT44" s="80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1702.78</v>
      </c>
      <c r="CJ44" s="81"/>
      <c r="CK44" s="81">
        <f>AN21</f>
        <v>1702.78</v>
      </c>
      <c r="CL44" s="81"/>
      <c r="CM44" s="81">
        <f>AP21</f>
        <v>0</v>
      </c>
      <c r="CN44" s="81"/>
      <c r="CO44" s="81">
        <f>AR21</f>
        <v>1277</v>
      </c>
      <c r="CP44" s="81"/>
      <c r="CQ44" s="81">
        <f>AT21</f>
        <v>1118</v>
      </c>
      <c r="CR44" s="81"/>
      <c r="CS44" s="81">
        <f>AV21</f>
        <v>1118</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1278</v>
      </c>
      <c r="CP46" s="81"/>
      <c r="CQ46" s="81">
        <f>SUM(AT22:AT24)</f>
        <v>1118</v>
      </c>
      <c r="CR46" s="81"/>
      <c r="CS46" s="81">
        <f>SUM(AV22:AV24)</f>
        <v>1118</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&lt;&gt;</v>
      </c>
      <c r="CP47" s="466"/>
      <c r="CQ47" s="466" t="str">
        <f>IF(OR(ISBLANK(AT21),ISBLANK(AT22),ISBLANK(AT23),ISBLANK(AT24)),"N/A",IF((CQ44=CQ46),"ok","&lt;&gt;"))</f>
        <v>ok</v>
      </c>
      <c r="CR47" s="466"/>
      <c r="CS47" s="466" t="str">
        <f>IF(OR(ISBLANK(AV21),ISBLANK(AV22),ISBLANK(AV23),ISBLANK(AV24)),"N/A",IF((CS44=CS46),"ok","&lt;&gt;"))</f>
        <v>ok</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v>0</v>
      </c>
      <c r="B51" s="163">
        <v>-1</v>
      </c>
      <c r="C51" s="484" t="s">
        <v>646</v>
      </c>
      <c r="D51" s="828" t="s">
        <v>651</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1:98" ht="18" customHeight="1">
      <c r="A52" s="162">
        <v>0</v>
      </c>
      <c r="B52" s="163">
        <v>-1</v>
      </c>
      <c r="C52" s="484" t="s">
        <v>647</v>
      </c>
      <c r="D52" s="805" t="s">
        <v>652</v>
      </c>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3:50"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3:50"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3:50" ht="18" customHeight="1">
      <c r="C59" s="484"/>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3:50"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row>
    <row r="61" spans="3:50"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row>
    <row r="62" spans="3:50"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row>
    <row r="63" spans="3:50"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3:50"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3:50"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3:50"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3:50" ht="18" customHeight="1">
      <c r="C67" s="48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row>
    <row r="68" spans="3:50"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row>
    <row r="69" spans="3:50" ht="18" customHeight="1">
      <c r="C69" s="484"/>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row>
    <row r="70" spans="3:50" ht="18" customHeight="1">
      <c r="C70" s="484"/>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3:50" ht="18" customHeight="1">
      <c r="C71" s="484"/>
      <c r="D71" s="805"/>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row r="72" spans="3:50"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710</v>
      </c>
      <c r="C3" s="299" t="s">
        <v>296</v>
      </c>
      <c r="D3" s="29" t="s">
        <v>456</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4" t="s">
        <v>124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v>48</v>
      </c>
      <c r="G8" s="528" t="s">
        <v>646</v>
      </c>
      <c r="H8" s="516">
        <v>51</v>
      </c>
      <c r="I8" s="528" t="s">
        <v>646</v>
      </c>
      <c r="J8" s="516">
        <v>53</v>
      </c>
      <c r="K8" s="528" t="s">
        <v>646</v>
      </c>
      <c r="L8" s="516">
        <v>53</v>
      </c>
      <c r="M8" s="528" t="s">
        <v>646</v>
      </c>
      <c r="N8" s="516">
        <v>55</v>
      </c>
      <c r="O8" s="528" t="s">
        <v>646</v>
      </c>
      <c r="P8" s="516">
        <v>57</v>
      </c>
      <c r="Q8" s="528" t="s">
        <v>646</v>
      </c>
      <c r="R8" s="516">
        <v>58</v>
      </c>
      <c r="S8" s="528" t="s">
        <v>646</v>
      </c>
      <c r="T8" s="516">
        <v>60</v>
      </c>
      <c r="U8" s="528" t="s">
        <v>646</v>
      </c>
      <c r="V8" s="516"/>
      <c r="W8" s="528"/>
      <c r="X8" s="516"/>
      <c r="Y8" s="528"/>
      <c r="Z8" s="516"/>
      <c r="AA8" s="528"/>
      <c r="AB8" s="516">
        <v>57</v>
      </c>
      <c r="AC8" s="528" t="s">
        <v>647</v>
      </c>
      <c r="AD8" s="516"/>
      <c r="AE8" s="528"/>
      <c r="AF8" s="516"/>
      <c r="AG8" s="528"/>
      <c r="AH8" s="516"/>
      <c r="AI8" s="528"/>
      <c r="AJ8" s="516"/>
      <c r="AK8" s="528"/>
      <c r="AL8" s="516">
        <v>76</v>
      </c>
      <c r="AM8" s="528"/>
      <c r="AN8" s="516">
        <v>62</v>
      </c>
      <c r="AO8" s="528"/>
      <c r="AP8" s="516">
        <v>63</v>
      </c>
      <c r="AQ8" s="528"/>
      <c r="AR8" s="516">
        <v>62</v>
      </c>
      <c r="AS8" s="528"/>
      <c r="AT8" s="516">
        <v>60</v>
      </c>
      <c r="AU8" s="528"/>
      <c r="AV8" s="516">
        <v>61</v>
      </c>
      <c r="AW8" s="528"/>
      <c r="AY8" s="348">
        <v>1</v>
      </c>
      <c r="AZ8" s="478" t="s">
        <v>8</v>
      </c>
      <c r="BA8" s="96" t="s">
        <v>262</v>
      </c>
      <c r="BB8" s="96" t="s">
        <v>82</v>
      </c>
      <c r="BC8" s="543"/>
      <c r="BD8" s="79" t="str">
        <f>IF(OR(ISBLANK(F8),ISBLANK(H8)),"N/A",IF(ABS(H8-F8)&gt;0.25,"&gt; 25%","ok"))</f>
        <v>&gt; 25%</v>
      </c>
      <c r="BE8" s="543"/>
      <c r="BF8" s="79" t="str">
        <f>IF(OR(ISBLANK(H8),ISBLANK(J8)),"N/A",IF(ABS(J8-H8)&gt;0.25,"&gt;25%","ok"))</f>
        <v>&gt;25%</v>
      </c>
      <c r="BG8" s="79"/>
      <c r="BH8" s="79" t="str">
        <f>IF(OR(ISBLANK(J8),ISBLANK(L8)),"N/A",IF(ABS(L8-J8)&gt;25,"&gt; 25%","ok"))</f>
        <v>ok</v>
      </c>
      <c r="BI8" s="79"/>
      <c r="BJ8" s="79" t="str">
        <f>IF(OR(ISBLANK(L8),ISBLANK(N8)),"N/A",IF(ABS(N8-L8)&gt;25,"&gt; 25%","ok"))</f>
        <v>ok</v>
      </c>
      <c r="BK8" s="79"/>
      <c r="BL8" s="79" t="str">
        <f>IF(OR(ISBLANK(N8),ISBLANK(P8)),"N/A",IF(ABS(P8-N8)&gt;25,"&gt; 25%","ok"))</f>
        <v>ok</v>
      </c>
      <c r="BM8" s="79"/>
      <c r="BN8" s="79" t="str">
        <f>IF(OR(ISBLANK(P8),ISBLANK(R8)),"N/A",IF(ABS(R8-P8)&gt;25,"&gt; 25%","ok"))</f>
        <v>ok</v>
      </c>
      <c r="BO8" s="79"/>
      <c r="BP8" s="79" t="str">
        <f>IF(OR(ISBLANK(R8),ISBLANK(T8)),"N/A",IF(ABS(T8-R8)&gt;25,"&gt; 25%","ok"))</f>
        <v>ok</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ok</v>
      </c>
      <c r="CK8" s="79"/>
      <c r="CL8" s="79" t="str">
        <f>IF(OR(ISBLANK(AN8),ISBLANK(AP8)),"N/A",IF(ABS(AP8-AN8)&gt;25,"&gt; 25%","ok"))</f>
        <v>ok</v>
      </c>
      <c r="CM8" s="79"/>
      <c r="CN8" s="79" t="str">
        <f>IF(OR(ISBLANK(AP8),ISBLANK(AR8)),"N/A",IF(ABS(AR8-AP8)&gt;25,"&gt; 25%","ok"))</f>
        <v>ok</v>
      </c>
      <c r="CO8" s="79"/>
      <c r="CP8" s="79" t="str">
        <f>IF(OR(ISBLANK(AR8),ISBLANK(AT8)),"N/A",IF(ABS(AT8-AR8)&gt;25,"&gt; 25%","ok"))</f>
        <v>ok</v>
      </c>
      <c r="CQ8" s="79"/>
      <c r="CR8" s="79" t="str">
        <f>IF(OR(ISBLANK(AT8),ISBLANK(AV8)),"N/A",IF(ABS(AV8-AT8)&gt;25,"&gt; 25%","ok"))</f>
        <v>ok</v>
      </c>
      <c r="CS8" s="79"/>
    </row>
    <row r="9" spans="1:97" ht="36" customHeight="1">
      <c r="A9" s="211" t="s">
        <v>65</v>
      </c>
      <c r="B9" s="212">
        <v>164</v>
      </c>
      <c r="C9" s="333">
        <v>2</v>
      </c>
      <c r="D9" s="479" t="s">
        <v>9</v>
      </c>
      <c r="E9" s="215" t="s">
        <v>262</v>
      </c>
      <c r="F9" s="516">
        <v>46</v>
      </c>
      <c r="G9" s="528" t="s">
        <v>646</v>
      </c>
      <c r="H9" s="516">
        <v>48</v>
      </c>
      <c r="I9" s="528" t="s">
        <v>646</v>
      </c>
      <c r="J9" s="516">
        <v>50</v>
      </c>
      <c r="K9" s="528" t="s">
        <v>646</v>
      </c>
      <c r="L9" s="516">
        <v>50</v>
      </c>
      <c r="M9" s="528" t="s">
        <v>646</v>
      </c>
      <c r="N9" s="516">
        <v>52</v>
      </c>
      <c r="O9" s="528" t="s">
        <v>646</v>
      </c>
      <c r="P9" s="516">
        <v>54</v>
      </c>
      <c r="Q9" s="528" t="s">
        <v>646</v>
      </c>
      <c r="R9" s="516">
        <v>55</v>
      </c>
      <c r="S9" s="528" t="s">
        <v>646</v>
      </c>
      <c r="T9" s="516">
        <v>57</v>
      </c>
      <c r="U9" s="528" t="s">
        <v>646</v>
      </c>
      <c r="V9" s="516"/>
      <c r="W9" s="528"/>
      <c r="X9" s="516"/>
      <c r="Y9" s="528"/>
      <c r="Z9" s="516"/>
      <c r="AA9" s="528"/>
      <c r="AB9" s="516">
        <v>57</v>
      </c>
      <c r="AC9" s="528" t="s">
        <v>647</v>
      </c>
      <c r="AD9" s="516"/>
      <c r="AE9" s="528"/>
      <c r="AF9" s="516"/>
      <c r="AG9" s="528"/>
      <c r="AH9" s="516"/>
      <c r="AI9" s="528"/>
      <c r="AJ9" s="516"/>
      <c r="AK9" s="528"/>
      <c r="AL9" s="516">
        <v>58</v>
      </c>
      <c r="AM9" s="528"/>
      <c r="AN9" s="516">
        <v>57</v>
      </c>
      <c r="AO9" s="528"/>
      <c r="AP9" s="516">
        <v>58</v>
      </c>
      <c r="AQ9" s="528"/>
      <c r="AR9" s="516">
        <v>57</v>
      </c>
      <c r="AS9" s="528"/>
      <c r="AT9" s="516">
        <v>57</v>
      </c>
      <c r="AU9" s="528"/>
      <c r="AV9" s="516">
        <v>56</v>
      </c>
      <c r="AW9" s="528"/>
      <c r="AY9" s="337">
        <v>2</v>
      </c>
      <c r="AZ9" s="480" t="s">
        <v>9</v>
      </c>
      <c r="BA9" s="96" t="s">
        <v>262</v>
      </c>
      <c r="BB9" s="96" t="s">
        <v>82</v>
      </c>
      <c r="BC9" s="543"/>
      <c r="BD9" s="79" t="str">
        <f>IF(OR(ISBLANK(F9),ISBLANK(H9)),"N/A",IF(ABS(H9-F9)&gt;0.25,"&gt; 25%","ok"))</f>
        <v>&gt; 25%</v>
      </c>
      <c r="BE9" s="543"/>
      <c r="BF9" s="79" t="str">
        <f>IF(OR(ISBLANK(H9),ISBLANK(J9)),"N/A",IF(ABS(J9-H9)&gt;0.25,"&gt;25%","ok"))</f>
        <v>&gt;25%</v>
      </c>
      <c r="BG9" s="79"/>
      <c r="BH9" s="79" t="str">
        <f>IF(OR(ISBLANK(J9),ISBLANK(L9)),"N/A",IF(ABS(L9-J9)&gt;25,"&gt; 25%","ok"))</f>
        <v>ok</v>
      </c>
      <c r="BI9" s="79"/>
      <c r="BJ9" s="79" t="str">
        <f>IF(OR(ISBLANK(L9),ISBLANK(N9)),"N/A",IF(ABS(N9-L9)&gt;25,"&gt; 25%","ok"))</f>
        <v>ok</v>
      </c>
      <c r="BK9" s="79"/>
      <c r="BL9" s="79" t="str">
        <f>IF(OR(ISBLANK(N9),ISBLANK(P9)),"N/A",IF(ABS(P9-N9)&gt;25,"&gt; 25%","ok"))</f>
        <v>ok</v>
      </c>
      <c r="BM9" s="79"/>
      <c r="BN9" s="79" t="str">
        <f>IF(OR(ISBLANK(P9),ISBLANK(R9)),"N/A",IF(ABS(R9-P9)&gt;25,"&gt; 25%","ok"))</f>
        <v>ok</v>
      </c>
      <c r="BO9" s="79"/>
      <c r="BP9" s="79" t="str">
        <f>IF(OR(ISBLANK(R9),ISBLANK(T9)),"N/A",IF(ABS(T9-R9)&gt;25,"&gt; 25%","ok"))</f>
        <v>ok</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ok</v>
      </c>
      <c r="CK9" s="79"/>
      <c r="CL9" s="79" t="str">
        <f>IF(OR(ISBLANK(AN9),ISBLANK(AP9)),"N/A",IF(ABS(AP9-AN9)&gt;25,"&gt; 25%","ok"))</f>
        <v>ok</v>
      </c>
      <c r="CM9" s="79"/>
      <c r="CN9" s="79" t="str">
        <f>IF(OR(ISBLANK(AP9),ISBLANK(AR9)),"N/A",IF(ABS(AR9-AP9)&gt;25,"&gt; 25%","ok"))</f>
        <v>ok</v>
      </c>
      <c r="CO9" s="79"/>
      <c r="CP9" s="79" t="str">
        <f>IF(OR(ISBLANK(AR9),ISBLANK(AT9)),"N/A",IF(ABS(AT9-AR9)&gt;25,"&gt; 25%","ok"))</f>
        <v>ok</v>
      </c>
      <c r="CQ9" s="79"/>
      <c r="CR9" s="79" t="str">
        <f>IF(OR(ISBLANK(AT9),ISBLANK(AV9)),"N/A",IF(ABS(AV9-AT9)&gt;25,"&gt; 25%","ok"))</f>
        <v>ok</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v>0</v>
      </c>
      <c r="AC10" s="525" t="s">
        <v>647</v>
      </c>
      <c r="AD10" s="514"/>
      <c r="AE10" s="525"/>
      <c r="AF10" s="514"/>
      <c r="AG10" s="525"/>
      <c r="AH10" s="514"/>
      <c r="AI10" s="525"/>
      <c r="AJ10" s="514"/>
      <c r="AK10" s="525"/>
      <c r="AL10" s="514">
        <v>56</v>
      </c>
      <c r="AM10" s="525"/>
      <c r="AN10" s="514">
        <v>56</v>
      </c>
      <c r="AO10" s="525"/>
      <c r="AP10" s="514">
        <v>56</v>
      </c>
      <c r="AQ10" s="525"/>
      <c r="AR10" s="514">
        <v>56</v>
      </c>
      <c r="AS10" s="525"/>
      <c r="AT10" s="514">
        <v>56</v>
      </c>
      <c r="AU10" s="525"/>
      <c r="AV10" s="514">
        <v>56</v>
      </c>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ok</v>
      </c>
      <c r="CK10" s="79"/>
      <c r="CL10" s="79" t="str">
        <f>IF(OR(ISBLANK(AN10),ISBLANK(AP10)),"N/A",IF(ABS(AP10-AN10)&gt;25,"&gt; 25%","ok"))</f>
        <v>ok</v>
      </c>
      <c r="CM10" s="79"/>
      <c r="CN10" s="79" t="str">
        <f>IF(OR(ISBLANK(AP10),ISBLANK(AR10)),"N/A",IF(ABS(AR10-AP10)&gt;25,"&gt; 25%","ok"))</f>
        <v>ok</v>
      </c>
      <c r="CO10" s="79"/>
      <c r="CP10" s="79" t="str">
        <f>IF(OR(ISBLANK(AR10),ISBLANK(AT10)),"N/A",IF(ABS(AT10-AR10)&gt;25,"&gt; 25%","ok"))</f>
        <v>ok</v>
      </c>
      <c r="CQ10" s="79"/>
      <c r="CR10" s="79" t="str">
        <f>IF(OR(ISBLANK(AT10),ISBLANK(AV10)),"N/A",IF(ABS(AV10-AT10)&gt;25,"&gt; 25%","ok"))</f>
        <v>ok</v>
      </c>
      <c r="CS10" s="79"/>
    </row>
    <row r="11" spans="2:97" ht="36" customHeight="1">
      <c r="B11" s="212">
        <v>165</v>
      </c>
      <c r="C11" s="226">
        <v>4</v>
      </c>
      <c r="D11" s="232" t="s">
        <v>109</v>
      </c>
      <c r="E11" s="215" t="s">
        <v>262</v>
      </c>
      <c r="F11" s="514">
        <v>2</v>
      </c>
      <c r="G11" s="525" t="s">
        <v>646</v>
      </c>
      <c r="H11" s="514">
        <v>3</v>
      </c>
      <c r="I11" s="525" t="s">
        <v>646</v>
      </c>
      <c r="J11" s="514">
        <v>3</v>
      </c>
      <c r="K11" s="525" t="s">
        <v>646</v>
      </c>
      <c r="L11" s="514">
        <v>3</v>
      </c>
      <c r="M11" s="525" t="s">
        <v>646</v>
      </c>
      <c r="N11" s="514">
        <v>3</v>
      </c>
      <c r="O11" s="525" t="s">
        <v>646</v>
      </c>
      <c r="P11" s="514">
        <v>3</v>
      </c>
      <c r="Q11" s="525" t="s">
        <v>646</v>
      </c>
      <c r="R11" s="514">
        <v>3</v>
      </c>
      <c r="S11" s="525" t="s">
        <v>646</v>
      </c>
      <c r="T11" s="514">
        <v>3</v>
      </c>
      <c r="U11" s="525" t="s">
        <v>646</v>
      </c>
      <c r="V11" s="514"/>
      <c r="W11" s="525"/>
      <c r="X11" s="514"/>
      <c r="Y11" s="525"/>
      <c r="Z11" s="514"/>
      <c r="AA11" s="525"/>
      <c r="AB11" s="514">
        <v>37.7999992370605</v>
      </c>
      <c r="AC11" s="525" t="s">
        <v>647</v>
      </c>
      <c r="AD11" s="514"/>
      <c r="AE11" s="525"/>
      <c r="AF11" s="514"/>
      <c r="AG11" s="525"/>
      <c r="AH11" s="514"/>
      <c r="AI11" s="525"/>
      <c r="AJ11" s="514"/>
      <c r="AK11" s="525"/>
      <c r="AL11" s="514">
        <v>3</v>
      </c>
      <c r="AM11" s="525"/>
      <c r="AN11" s="514">
        <v>3</v>
      </c>
      <c r="AO11" s="525"/>
      <c r="AP11" s="514">
        <v>3</v>
      </c>
      <c r="AQ11" s="525"/>
      <c r="AR11" s="514">
        <v>4</v>
      </c>
      <c r="AS11" s="525"/>
      <c r="AT11" s="514">
        <v>4</v>
      </c>
      <c r="AU11" s="525"/>
      <c r="AV11" s="514">
        <v>4</v>
      </c>
      <c r="AW11" s="525"/>
      <c r="AY11" s="81">
        <v>4</v>
      </c>
      <c r="AZ11" s="233" t="s">
        <v>2</v>
      </c>
      <c r="BA11" s="96" t="s">
        <v>262</v>
      </c>
      <c r="BB11" s="81" t="s">
        <v>82</v>
      </c>
      <c r="BC11" s="544"/>
      <c r="BD11" s="79" t="str">
        <f>IF(OR(ISBLANK(F11),ISBLANK(H11)),"N/A",IF(ABS(H11-F11)&gt;0.25,"&gt; 25%","ok"))</f>
        <v>&gt; 25%</v>
      </c>
      <c r="BE11" s="543"/>
      <c r="BF11" s="79" t="str">
        <f>IF(OR(ISBLANK(H11),ISBLANK(J11)),"N/A",IF(ABS(J11-H11)&gt;0.25,"&gt;25%","ok"))</f>
        <v>ok</v>
      </c>
      <c r="BG11" s="79"/>
      <c r="BH11" s="79" t="str">
        <f>IF(OR(ISBLANK(J11),ISBLANK(L11)),"N/A",IF(ABS(L11-J11)&gt;25,"&gt; 25%","ok"))</f>
        <v>ok</v>
      </c>
      <c r="BI11" s="79"/>
      <c r="BJ11" s="79" t="str">
        <f>IF(OR(ISBLANK(L11),ISBLANK(N11)),"N/A",IF(ABS(N11-L11)&gt;25,"&gt; 25%","ok"))</f>
        <v>ok</v>
      </c>
      <c r="BK11" s="79"/>
      <c r="BL11" s="79" t="str">
        <f>IF(OR(ISBLANK(N11),ISBLANK(P11)),"N/A",IF(ABS(P11-N11)&gt;25,"&gt; 25%","ok"))</f>
        <v>ok</v>
      </c>
      <c r="BM11" s="79"/>
      <c r="BN11" s="79" t="str">
        <f>IF(OR(ISBLANK(P11),ISBLANK(R11)),"N/A",IF(ABS(R11-P11)&gt;25,"&gt; 25%","ok"))</f>
        <v>ok</v>
      </c>
      <c r="BO11" s="79"/>
      <c r="BP11" s="79" t="str">
        <f>IF(OR(ISBLANK(R11),ISBLANK(T11)),"N/A",IF(ABS(T11-R11)&gt;25,"&gt; 25%","ok"))</f>
        <v>ok</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ok</v>
      </c>
      <c r="CK11" s="79"/>
      <c r="CL11" s="79" t="str">
        <f>IF(OR(ISBLANK(AN11),ISBLANK(AP11)),"N/A",IF(ABS(AP11-AN11)&gt;25,"&gt; 25%","ok"))</f>
        <v>ok</v>
      </c>
      <c r="CM11" s="79"/>
      <c r="CN11" s="79" t="str">
        <f>IF(OR(ISBLANK(AP11),ISBLANK(AR11)),"N/A",IF(ABS(AR11-AP11)&gt;25,"&gt; 25%","ok"))</f>
        <v>ok</v>
      </c>
      <c r="CO11" s="79"/>
      <c r="CP11" s="79" t="str">
        <f>IF(OR(ISBLANK(AR11),ISBLANK(AT11)),"N/A",IF(ABS(AT11-AR11)&gt;25,"&gt; 25%","ok"))</f>
        <v>ok</v>
      </c>
      <c r="CQ11" s="79"/>
      <c r="CR11" s="79" t="str">
        <f>IF(OR(ISBLANK(AT11),ISBLANK(AV11)),"N/A",IF(ABS(AV11-AT11)&gt;25,"&gt; 25%","ok"))</f>
        <v>ok</v>
      </c>
      <c r="CS11" s="79"/>
    </row>
    <row r="12" spans="2:97" ht="36" customHeight="1">
      <c r="B12" s="212">
        <v>298</v>
      </c>
      <c r="C12" s="344">
        <v>5</v>
      </c>
      <c r="D12" s="236" t="s">
        <v>64</v>
      </c>
      <c r="E12" s="344" t="s">
        <v>262</v>
      </c>
      <c r="F12" s="518">
        <v>52</v>
      </c>
      <c r="G12" s="531" t="s">
        <v>646</v>
      </c>
      <c r="H12" s="518">
        <v>49</v>
      </c>
      <c r="I12" s="531" t="s">
        <v>646</v>
      </c>
      <c r="J12" s="518">
        <v>47</v>
      </c>
      <c r="K12" s="531" t="s">
        <v>646</v>
      </c>
      <c r="L12" s="518">
        <v>47</v>
      </c>
      <c r="M12" s="531" t="s">
        <v>646</v>
      </c>
      <c r="N12" s="518">
        <v>45</v>
      </c>
      <c r="O12" s="531" t="s">
        <v>646</v>
      </c>
      <c r="P12" s="518">
        <v>43</v>
      </c>
      <c r="Q12" s="531" t="s">
        <v>646</v>
      </c>
      <c r="R12" s="518">
        <v>42</v>
      </c>
      <c r="S12" s="531" t="s">
        <v>646</v>
      </c>
      <c r="T12" s="518">
        <v>40</v>
      </c>
      <c r="U12" s="531" t="s">
        <v>646</v>
      </c>
      <c r="V12" s="518"/>
      <c r="W12" s="531"/>
      <c r="X12" s="518"/>
      <c r="Y12" s="531"/>
      <c r="Z12" s="518"/>
      <c r="AA12" s="531"/>
      <c r="AB12" s="518">
        <v>5.19999980926514</v>
      </c>
      <c r="AC12" s="531" t="s">
        <v>647</v>
      </c>
      <c r="AD12" s="518"/>
      <c r="AE12" s="531"/>
      <c r="AF12" s="518"/>
      <c r="AG12" s="531"/>
      <c r="AH12" s="518"/>
      <c r="AI12" s="531"/>
      <c r="AJ12" s="518"/>
      <c r="AK12" s="531"/>
      <c r="AL12" s="518">
        <v>39</v>
      </c>
      <c r="AM12" s="531"/>
      <c r="AN12" s="518">
        <v>40</v>
      </c>
      <c r="AO12" s="531"/>
      <c r="AP12" s="518">
        <v>39</v>
      </c>
      <c r="AQ12" s="531"/>
      <c r="AR12" s="518">
        <v>39</v>
      </c>
      <c r="AS12" s="531"/>
      <c r="AT12" s="518">
        <v>39</v>
      </c>
      <c r="AU12" s="531"/>
      <c r="AV12" s="518">
        <v>40</v>
      </c>
      <c r="AW12" s="531"/>
      <c r="AY12" s="94">
        <v>5</v>
      </c>
      <c r="AZ12" s="403" t="s">
        <v>64</v>
      </c>
      <c r="BA12" s="94" t="s">
        <v>262</v>
      </c>
      <c r="BB12" s="94" t="s">
        <v>82</v>
      </c>
      <c r="BC12" s="546"/>
      <c r="BD12" s="80" t="str">
        <f>IF(OR(ISBLANK(F12),ISBLANK(H12)),"N/A",IF(ABS(H12-F12)&gt;0.25,"&gt; 25%","ok"))</f>
        <v>&gt; 25%</v>
      </c>
      <c r="BE12" s="80"/>
      <c r="BF12" s="80" t="str">
        <f>IF(OR(ISBLANK(H12),ISBLANK(J12)),"N/A",IF(ABS(J12-H12)&gt;0.25,"&gt;25%","ok"))</f>
        <v>&gt;25%</v>
      </c>
      <c r="BG12" s="80"/>
      <c r="BH12" s="80" t="str">
        <f>IF(OR(ISBLANK(J12),ISBLANK(L12)),"N/A",IF(ABS(L12-J12)&gt;25,"&gt; 25%","ok"))</f>
        <v>ok</v>
      </c>
      <c r="BI12" s="80"/>
      <c r="BJ12" s="80" t="str">
        <f>IF(OR(ISBLANK(L12),ISBLANK(N12)),"N/A",IF(ABS(N12-L12)&gt;25,"&gt; 25%","ok"))</f>
        <v>ok</v>
      </c>
      <c r="BK12" s="80"/>
      <c r="BL12" s="80" t="str">
        <f>IF(OR(ISBLANK(N12),ISBLANK(P12)),"N/A",IF(ABS(P12-N12)&gt;25,"&gt; 25%","ok"))</f>
        <v>ok</v>
      </c>
      <c r="BM12" s="80"/>
      <c r="BN12" s="80" t="str">
        <f>IF(OR(ISBLANK(P12),ISBLANK(R12)),"N/A",IF(ABS(R12-P12)&gt;25,"&gt; 25%","ok"))</f>
        <v>ok</v>
      </c>
      <c r="BO12" s="80"/>
      <c r="BP12" s="80" t="str">
        <f>IF(OR(ISBLANK(R12),ISBLANK(T12)),"N/A",IF(ABS(T12-R12)&gt;25,"&gt; 25%","ok"))</f>
        <v>ok</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ok</v>
      </c>
      <c r="CK12" s="80"/>
      <c r="CL12" s="80" t="str">
        <f>IF(OR(ISBLANK(AN12),ISBLANK(AP12)),"N/A",IF(ABS(AP12-AN12)&gt;25,"&gt; 25%","ok"))</f>
        <v>ok</v>
      </c>
      <c r="CM12" s="80"/>
      <c r="CN12" s="80" t="str">
        <f>IF(OR(ISBLANK(AP12),ISBLANK(AR12)),"N/A",IF(ABS(AR12-AP12)&gt;25,"&gt; 25%","ok"))</f>
        <v>ok</v>
      </c>
      <c r="CO12" s="80"/>
      <c r="CP12" s="80" t="str">
        <f>IF(OR(ISBLANK(AR12),ISBLANK(AT12)),"N/A",IF(ABS(AT12-AR12)&gt;25,"&gt; 25%","ok"))</f>
        <v>ok</v>
      </c>
      <c r="CQ12" s="80"/>
      <c r="CR12" s="80" t="str">
        <f>IF(OR(ISBLANK(AT12),ISBLANK(AV12)),"N/A",IF(ABS(AV12-AT12)&gt;25,"&gt; 25%","ok"))</f>
        <v>ok</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7" t="s">
        <v>143</v>
      </c>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36"/>
      <c r="B16" s="636"/>
      <c r="C16" s="245" t="s">
        <v>142</v>
      </c>
      <c r="D16" s="817" t="s">
        <v>110</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348">
        <v>1</v>
      </c>
      <c r="AZ16" s="478" t="s">
        <v>8</v>
      </c>
      <c r="BA16" s="96" t="s">
        <v>262</v>
      </c>
      <c r="BB16" s="96">
        <f>F8</f>
        <v>48</v>
      </c>
      <c r="BC16" s="96"/>
      <c r="BD16" s="96">
        <f>H8</f>
        <v>51</v>
      </c>
      <c r="BE16" s="96"/>
      <c r="BF16" s="96">
        <f>J8</f>
        <v>53</v>
      </c>
      <c r="BG16" s="96"/>
      <c r="BH16" s="96">
        <f>L8</f>
        <v>53</v>
      </c>
      <c r="BI16" s="96"/>
      <c r="BJ16" s="96">
        <f>N8</f>
        <v>55</v>
      </c>
      <c r="BK16" s="96"/>
      <c r="BL16" s="96">
        <f>P8</f>
        <v>57</v>
      </c>
      <c r="BM16" s="96"/>
      <c r="BN16" s="96">
        <f>R8</f>
        <v>58</v>
      </c>
      <c r="BO16" s="96"/>
      <c r="BP16" s="96">
        <f>T8</f>
        <v>60</v>
      </c>
      <c r="BQ16" s="96"/>
      <c r="BR16" s="96">
        <f>V8</f>
        <v>0</v>
      </c>
      <c r="BS16" s="96"/>
      <c r="BT16" s="96">
        <f>X8</f>
        <v>0</v>
      </c>
      <c r="BU16" s="96"/>
      <c r="BV16" s="96">
        <f>Z8</f>
        <v>0</v>
      </c>
      <c r="BW16" s="96"/>
      <c r="BX16" s="96">
        <f>AB8</f>
        <v>57</v>
      </c>
      <c r="BY16" s="96"/>
      <c r="BZ16" s="96">
        <f>AD8</f>
        <v>0</v>
      </c>
      <c r="CA16" s="96"/>
      <c r="CB16" s="96">
        <f>AF8</f>
        <v>0</v>
      </c>
      <c r="CC16" s="96"/>
      <c r="CD16" s="96">
        <f>AH8</f>
        <v>0</v>
      </c>
      <c r="CE16" s="543"/>
      <c r="CF16" s="96">
        <f>AJ8</f>
        <v>0</v>
      </c>
      <c r="CG16" s="96"/>
      <c r="CH16" s="96">
        <f>AL8</f>
        <v>76</v>
      </c>
      <c r="CI16" s="96"/>
      <c r="CJ16" s="96">
        <f>AN8</f>
        <v>62</v>
      </c>
      <c r="CK16" s="96"/>
      <c r="CL16" s="96">
        <f>AP8</f>
        <v>63</v>
      </c>
      <c r="CM16" s="543"/>
      <c r="CN16" s="96">
        <f>AR8</f>
        <v>62</v>
      </c>
      <c r="CO16" s="96"/>
      <c r="CP16" s="96">
        <f>AT8</f>
        <v>60</v>
      </c>
      <c r="CQ16" s="96"/>
      <c r="CR16" s="96">
        <f>AV8</f>
        <v>61</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337">
        <v>2</v>
      </c>
      <c r="AZ17" s="480" t="s">
        <v>9</v>
      </c>
      <c r="BA17" s="96" t="s">
        <v>262</v>
      </c>
      <c r="BB17" s="96">
        <f>F9</f>
        <v>46</v>
      </c>
      <c r="BC17" s="96"/>
      <c r="BD17" s="96">
        <f>H9</f>
        <v>48</v>
      </c>
      <c r="BE17" s="96"/>
      <c r="BF17" s="96">
        <f>J9</f>
        <v>50</v>
      </c>
      <c r="BG17" s="96"/>
      <c r="BH17" s="96">
        <f>L9</f>
        <v>50</v>
      </c>
      <c r="BI17" s="96"/>
      <c r="BJ17" s="96">
        <f>N9</f>
        <v>52</v>
      </c>
      <c r="BK17" s="96"/>
      <c r="BL17" s="96">
        <f>P9</f>
        <v>54</v>
      </c>
      <c r="BM17" s="96"/>
      <c r="BN17" s="96">
        <f>R9</f>
        <v>55</v>
      </c>
      <c r="BO17" s="96"/>
      <c r="BP17" s="96">
        <f>T9</f>
        <v>57</v>
      </c>
      <c r="BQ17" s="96"/>
      <c r="BR17" s="96">
        <f>V9</f>
        <v>0</v>
      </c>
      <c r="BS17" s="96"/>
      <c r="BT17" s="96">
        <f>X9</f>
        <v>0</v>
      </c>
      <c r="BU17" s="96"/>
      <c r="BV17" s="96">
        <f>Z9</f>
        <v>0</v>
      </c>
      <c r="BW17" s="96"/>
      <c r="BX17" s="96">
        <f>AB9</f>
        <v>57</v>
      </c>
      <c r="BY17" s="96"/>
      <c r="BZ17" s="96">
        <f>AD9</f>
        <v>0</v>
      </c>
      <c r="CA17" s="96"/>
      <c r="CB17" s="96">
        <f>AF9</f>
        <v>0</v>
      </c>
      <c r="CC17" s="96"/>
      <c r="CD17" s="96">
        <f>AH9</f>
        <v>0</v>
      </c>
      <c r="CE17" s="543"/>
      <c r="CF17" s="96">
        <f>AJ9</f>
        <v>0</v>
      </c>
      <c r="CG17" s="96"/>
      <c r="CH17" s="96">
        <f>AL9</f>
        <v>58</v>
      </c>
      <c r="CI17" s="96"/>
      <c r="CJ17" s="96">
        <f>AN9</f>
        <v>57</v>
      </c>
      <c r="CK17" s="96"/>
      <c r="CL17" s="96">
        <f>AP9</f>
        <v>58</v>
      </c>
      <c r="CM17" s="543"/>
      <c r="CN17" s="96">
        <f>AR9</f>
        <v>57</v>
      </c>
      <c r="CO17" s="96"/>
      <c r="CP17" s="96">
        <f>AT9</f>
        <v>57</v>
      </c>
      <c r="CQ17" s="96"/>
      <c r="CR17" s="96">
        <f>AV9</f>
        <v>56</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ok</v>
      </c>
      <c r="BC18" s="96"/>
      <c r="BD18" s="96" t="str">
        <f>IF(OR(ISBLANK(H8),ISBLANK(H9)),"N/A",IF(BD16&gt;=BD17,"ok","&lt;&gt;"))</f>
        <v>ok</v>
      </c>
      <c r="BE18" s="96"/>
      <c r="BF18" s="96" t="str">
        <f>IF(OR(ISBLANK(J8),ISBLANK(J9)),"N/A",IF(BF16&gt;=BF17,"ok","&lt;&gt;"))</f>
        <v>ok</v>
      </c>
      <c r="BG18" s="96"/>
      <c r="BH18" s="96" t="str">
        <f>IF(OR(ISBLANK(L8),ISBLANK(L9)),"N/A",IF(BH16&gt;=BH17,"ok","&lt;&gt;"))</f>
        <v>ok</v>
      </c>
      <c r="BI18" s="96"/>
      <c r="BJ18" s="96" t="str">
        <f>IF(OR(ISBLANK(N8),ISBLANK(N9)),"N/A",IF(BJ16&gt;=BJ17,"ok","&lt;&gt;"))</f>
        <v>ok</v>
      </c>
      <c r="BK18" s="96"/>
      <c r="BL18" s="96" t="str">
        <f>IF(OR(ISBLANK(P8),ISBLANK(P9)),"N/A",IF(BL16&gt;=BL17,"ok","&lt;&gt;"))</f>
        <v>ok</v>
      </c>
      <c r="BM18" s="96"/>
      <c r="BN18" s="96" t="str">
        <f>IF(OR(ISBLANK(R8),ISBLANK(R9)),"N/A",IF(BN16&gt;=BN17,"ok","&lt;&gt;"))</f>
        <v>ok</v>
      </c>
      <c r="BO18" s="96"/>
      <c r="BP18" s="96" t="str">
        <f>IF(OR(ISBLANK(T8),ISBLANK(T9)),"N/A",IF(BP16&gt;=BP17,"ok","&lt;&gt;"))</f>
        <v>ok</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ok</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ok</v>
      </c>
      <c r="CI18" s="96"/>
      <c r="CJ18" s="96" t="str">
        <f>IF(OR(ISBLANK(AN8),ISBLANK(AN9)),"N/A",IF(CJ16&gt;=CJ17,"ok","&lt;&gt;"))</f>
        <v>ok</v>
      </c>
      <c r="CK18" s="96"/>
      <c r="CL18" s="96" t="str">
        <f>IF(OR(ISBLANK(AP8),ISBLANK(AP9)),"N/A",IF(CL16&gt;=CL17,"ok","&lt;&gt;"))</f>
        <v>ok</v>
      </c>
      <c r="CM18" s="543"/>
      <c r="CN18" s="96" t="str">
        <f>IF(OR(ISBLANK(AR8),ISBLANK(AR9)),"N/A",IF(CN16&gt;=CN17,"ok","&lt;&gt;"))</f>
        <v>ok</v>
      </c>
      <c r="CO18" s="96"/>
      <c r="CP18" s="96" t="str">
        <f>IF(OR(ISBLANK(AT8),ISBLANK(AT9)),"N/A",IF(CP16&gt;=CP17,"ok","&lt;&gt;"))</f>
        <v>ok</v>
      </c>
      <c r="CQ18" s="96"/>
      <c r="CR18" s="96" t="str">
        <f>IF(OR(ISBLANK(AV8),ISBLANK(AV9)),"N/A",IF(CR16&gt;=CR17,"ok","&lt;&gt;"))</f>
        <v>ok</v>
      </c>
      <c r="CS18" s="96"/>
    </row>
    <row r="19" spans="1:97" s="381" customFormat="1" ht="19.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56</v>
      </c>
      <c r="CI19" s="96"/>
      <c r="CJ19" s="96">
        <f>AN10</f>
        <v>56</v>
      </c>
      <c r="CK19" s="96"/>
      <c r="CL19" s="96">
        <f>AP10</f>
        <v>56</v>
      </c>
      <c r="CM19" s="543"/>
      <c r="CN19" s="96">
        <f>AR10</f>
        <v>56</v>
      </c>
      <c r="CO19" s="96"/>
      <c r="CP19" s="96">
        <f>AT10</f>
        <v>56</v>
      </c>
      <c r="CQ19" s="96"/>
      <c r="CR19" s="96">
        <f>AV10</f>
        <v>56</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ok</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ok</v>
      </c>
      <c r="CI21" s="96"/>
      <c r="CJ21" s="96" t="str">
        <f>IF(OR(ISBLANK(AN10),ISBLANK(AN9)),"N/A",IF(CJ17&gt;=CJ19,"ok","&lt;&gt;"))</f>
        <v>ok</v>
      </c>
      <c r="CK21" s="96"/>
      <c r="CL21" s="96" t="str">
        <f>IF(OR(ISBLANK(AP10),ISBLANK(AP9)),"N/A",IF(CL17&gt;=CL19,"ok","&lt;&gt;"))</f>
        <v>ok</v>
      </c>
      <c r="CM21" s="543"/>
      <c r="CN21" s="96" t="str">
        <f>IF(OR(ISBLANK(AR10),ISBLANK(AR9)),"N/A",IF(CN17&gt;=CN19,"ok","&lt;&gt;"))</f>
        <v>ok</v>
      </c>
      <c r="CO21" s="96"/>
      <c r="CP21" s="96" t="str">
        <f>IF(OR(ISBLANK(AT10),ISBLANK(AT9)),"N/A",IF(CP17&gt;=CP19,"ok","&lt;&gt;"))</f>
        <v>ok</v>
      </c>
      <c r="CQ21" s="96"/>
      <c r="CR21" s="96" t="str">
        <f>IF(OR(ISBLANK(AV10),ISBLANK(AV9)),"N/A",IF(CR17&gt;=CR19,"ok","&lt;&gt;"))</f>
        <v>ok</v>
      </c>
      <c r="CS21" s="96"/>
    </row>
    <row r="22" spans="1:97" ht="18" customHeight="1">
      <c r="A22" s="211">
        <v>0</v>
      </c>
      <c r="B22" s="208">
        <v>3845</v>
      </c>
      <c r="C22" s="484" t="s">
        <v>646</v>
      </c>
      <c r="D22" s="828" t="s">
        <v>649</v>
      </c>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81">
        <v>5</v>
      </c>
      <c r="AZ22" s="220" t="s">
        <v>64</v>
      </c>
      <c r="BA22" s="81" t="s">
        <v>262</v>
      </c>
      <c r="BB22" s="96">
        <f>F12</f>
        <v>52</v>
      </c>
      <c r="BC22" s="96"/>
      <c r="BD22" s="96">
        <f>H12</f>
        <v>49</v>
      </c>
      <c r="BE22" s="96"/>
      <c r="BF22" s="96">
        <f>J12</f>
        <v>47</v>
      </c>
      <c r="BG22" s="96"/>
      <c r="BH22" s="96">
        <f>L12</f>
        <v>47</v>
      </c>
      <c r="BI22" s="96"/>
      <c r="BJ22" s="96">
        <f>N12</f>
        <v>45</v>
      </c>
      <c r="BK22" s="96"/>
      <c r="BL22" s="96">
        <f>P12</f>
        <v>43</v>
      </c>
      <c r="BM22" s="96"/>
      <c r="BN22" s="96">
        <f>R12</f>
        <v>42</v>
      </c>
      <c r="BO22" s="96"/>
      <c r="BP22" s="96">
        <f>T12</f>
        <v>40</v>
      </c>
      <c r="BQ22" s="96"/>
      <c r="BR22" s="96">
        <f>V12</f>
        <v>0</v>
      </c>
      <c r="BS22" s="96"/>
      <c r="BT22" s="96">
        <f>X12</f>
        <v>0</v>
      </c>
      <c r="BU22" s="96"/>
      <c r="BV22" s="96">
        <f>Z12</f>
        <v>0</v>
      </c>
      <c r="BW22" s="96"/>
      <c r="BX22" s="96">
        <f>AB12</f>
        <v>5.19999980926514</v>
      </c>
      <c r="BY22" s="96"/>
      <c r="BZ22" s="96">
        <f>AD12</f>
        <v>0</v>
      </c>
      <c r="CA22" s="96"/>
      <c r="CB22" s="96">
        <f>AF12</f>
        <v>0</v>
      </c>
      <c r="CC22" s="96"/>
      <c r="CD22" s="96">
        <f>AH12</f>
        <v>0</v>
      </c>
      <c r="CE22" s="543"/>
      <c r="CF22" s="96">
        <f>AJ12</f>
        <v>0</v>
      </c>
      <c r="CG22" s="96"/>
      <c r="CH22" s="96">
        <f>AL12</f>
        <v>39</v>
      </c>
      <c r="CI22" s="96"/>
      <c r="CJ22" s="96">
        <f>AN12</f>
        <v>40</v>
      </c>
      <c r="CK22" s="96"/>
      <c r="CL22" s="96">
        <f>AP12</f>
        <v>39</v>
      </c>
      <c r="CM22" s="543"/>
      <c r="CN22" s="96">
        <f>AR12</f>
        <v>39</v>
      </c>
      <c r="CO22" s="96"/>
      <c r="CP22" s="96">
        <f>AT12</f>
        <v>39</v>
      </c>
      <c r="CQ22" s="96"/>
      <c r="CR22" s="96">
        <f>AV12</f>
        <v>40</v>
      </c>
      <c r="CS22" s="96"/>
    </row>
    <row r="23" spans="1:97" ht="18" customHeight="1">
      <c r="A23" s="211">
        <v>1</v>
      </c>
      <c r="B23" s="208">
        <v>4959</v>
      </c>
      <c r="C23" s="484" t="s">
        <v>647</v>
      </c>
      <c r="D23" s="805" t="s">
        <v>650</v>
      </c>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7"/>
      <c r="AY23" s="275" t="s">
        <v>176</v>
      </c>
      <c r="AZ23" s="276" t="s">
        <v>21</v>
      </c>
      <c r="BA23" s="94"/>
      <c r="BB23" s="94" t="str">
        <f>IF(OR(ISBLANK(F12),ISBLANK(F9),ISBLANK(F11)),"N/A",IF(BB22=100-F11-F9,"ok","&lt;&gt;"))</f>
        <v>ok</v>
      </c>
      <c r="BC23" s="94"/>
      <c r="BD23" s="94" t="str">
        <f>IF(OR(ISBLANK(H12),ISBLANK(H9),ISBLANK(H11)),"N/A",IF(BD22=100-H11-H9,"ok","&lt;&gt;"))</f>
        <v>ok</v>
      </c>
      <c r="BE23" s="94"/>
      <c r="BF23" s="94" t="str">
        <f>IF(OR(ISBLANK(J12),ISBLANK(J9),ISBLANK(J11)),"N/A",IF(BF22=100-J11-J9,"ok","&lt;&gt;"))</f>
        <v>ok</v>
      </c>
      <c r="BG23" s="94"/>
      <c r="BH23" s="94" t="str">
        <f>IF(OR(ISBLANK(L12),ISBLANK(L9),ISBLANK(L11)),"N/A",IF(BH22=100-L11-L9,"ok","&lt;&gt;"))</f>
        <v>ok</v>
      </c>
      <c r="BI23" s="94"/>
      <c r="BJ23" s="94" t="str">
        <f>IF(OR(ISBLANK(N12),ISBLANK(N9),ISBLANK(N11)),"N/A",IF(BJ22=100-N11-N9,"ok","&lt;&gt;"))</f>
        <v>ok</v>
      </c>
      <c r="BK23" s="94"/>
      <c r="BL23" s="94" t="str">
        <f>IF(OR(ISBLANK(P12),ISBLANK(P9),ISBLANK(P11)),"N/A",IF(BL22=100-P11-P9,"ok","&lt;&gt;"))</f>
        <v>ok</v>
      </c>
      <c r="BM23" s="94"/>
      <c r="BN23" s="94" t="str">
        <f>IF(OR(ISBLANK(R12),ISBLANK(R9),ISBLANK(R11)),"N/A",IF(BN22=100-R11-R9,"ok","&lt;&gt;"))</f>
        <v>ok</v>
      </c>
      <c r="BO23" s="94"/>
      <c r="BP23" s="94" t="str">
        <f>IF(OR(ISBLANK(T12),ISBLANK(T9),ISBLANK(T11)),"N/A",IF(BP22=100-T11-T9,"ok","&lt;&gt;"))</f>
        <v>ok</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&lt;&gt;</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ok</v>
      </c>
      <c r="CI23" s="94"/>
      <c r="CJ23" s="94" t="str">
        <f>IF(OR(ISBLANK(AN12),ISBLANK(AN9),ISBLANK(AN11)),"N/A",IF(CJ22=100-AN11-AN9,"ok","&lt;&gt;"))</f>
        <v>ok</v>
      </c>
      <c r="CK23" s="94"/>
      <c r="CL23" s="94" t="str">
        <f>IF(OR(ISBLANK(AP12),ISBLANK(AP9),ISBLANK(AP11)),"N/A",IF(CL22=100-AP11-AP9,"ok","&lt;&gt;"))</f>
        <v>ok</v>
      </c>
      <c r="CM23" s="94"/>
      <c r="CN23" s="94" t="str">
        <f>IF(OR(ISBLANK(AR12),ISBLANK(AR9),ISBLANK(AR11)),"N/A",IF(CN22=100-AR11-AR9,"ok","&lt;&gt;"))</f>
        <v>ok</v>
      </c>
      <c r="CO23" s="94"/>
      <c r="CP23" s="94" t="str">
        <f>IF(OR(ISBLANK(AT12),ISBLANK(AT9),ISBLANK(AT11)),"N/A",IF(CP22=100-AT11-AT9,"ok","&lt;&gt;"))</f>
        <v>ok</v>
      </c>
      <c r="CQ23" s="94"/>
      <c r="CR23" s="94" t="str">
        <f>IF(OR(ISBLANK(AV12),ISBLANK(AV9),ISBLANK(AV11)),"N/A",IF(CR22=100-AV11-AV9,"ok","&lt;&gt;"))</f>
        <v>ok</v>
      </c>
      <c r="CS23" s="94"/>
    </row>
    <row r="24" spans="3:97" ht="18" customHeight="1">
      <c r="C24" s="484"/>
      <c r="D24" s="805"/>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7"/>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5"/>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7"/>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5"/>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7"/>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5"/>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7"/>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5"/>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5"/>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5"/>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7"/>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5"/>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Z31" s="280"/>
    </row>
    <row r="32" spans="3:50" ht="18" customHeight="1">
      <c r="C32" s="484"/>
      <c r="D32" s="805"/>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7"/>
    </row>
    <row r="33" spans="3:50" ht="18" customHeight="1">
      <c r="C33" s="484"/>
      <c r="D33" s="805"/>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row>
    <row r="34" spans="3:50" ht="18" customHeight="1">
      <c r="C34" s="484"/>
      <c r="D34" s="805"/>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7"/>
    </row>
    <row r="35" spans="3:50" ht="18" customHeight="1">
      <c r="C35" s="484"/>
      <c r="D35" s="805"/>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3:50" ht="18" customHeight="1">
      <c r="C36" s="484"/>
      <c r="D36" s="805"/>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3:50"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3:50"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3:50"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row>
    <row r="40" spans="3:50"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row>
    <row r="41" spans="3:50"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7"/>
    </row>
    <row r="42" spans="3:50" ht="18" customHeight="1">
      <c r="C42" s="521"/>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3:50" ht="18" customHeight="1">
      <c r="C43" s="519"/>
      <c r="D43" s="810"/>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2020-11-02T16:12:59Z</cp:lastPrinted>
  <dcterms:created xsi:type="dcterms:W3CDTF">2001-01-18T18:38:40Z</dcterms:created>
  <dcterms:modified xsi:type="dcterms:W3CDTF">2023-01-27T17:18:21Z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